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Guide" sheetId="1" state="visible" r:id="rId1"/>
    <sheet xmlns:r="http://schemas.openxmlformats.org/officeDocument/2006/relationships" name="Dashboard" sheetId="2" state="visible" r:id="rId2"/>
    <sheet xmlns:r="http://schemas.openxmlformats.org/officeDocument/2006/relationships" name="Set the table" sheetId="3" state="visible" r:id="rId3"/>
    <sheet xmlns:r="http://schemas.openxmlformats.org/officeDocument/2006/relationships" name="Grid" sheetId="4" state="visible" r:id="rId4"/>
    <sheet xmlns:r="http://schemas.openxmlformats.org/officeDocument/2006/relationships" name="Register" sheetId="5" state="visible" r:id="rId5"/>
    <sheet xmlns:r="http://schemas.openxmlformats.org/officeDocument/2006/relationships" name="Questions" sheetId="6" state="visible" r:id="rId6"/>
    <sheet xmlns:r="http://schemas.openxmlformats.org/officeDocument/2006/relationships" name="Change log" sheetId="7" state="visible" r:id="rId7"/>
    <sheet xmlns:r="http://schemas.openxmlformats.org/officeDocument/2006/relationships" name="Panels" sheetId="8" state="visible" r:id="rId8"/>
    <sheet xmlns:r="http://schemas.openxmlformats.org/officeDocument/2006/relationships" name="One-pager" sheetId="9" state="visible" r:id="rId9"/>
    <sheet xmlns:r="http://schemas.openxmlformats.org/officeDocument/2006/relationships" name="Lists" sheetId="10" state="visible" r:id="rId10"/>
  </sheets>
  <definedNames>
    <definedName name="_xlnm.Print_Area" localSheetId="1">'Dashboard'!$A$1:$I$49</definedName>
    <definedName name="_xlnm.Print_Area" localSheetId="8">'One-pager'!$A$1:$G$66</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00175A"/>
      <sz val="16"/>
    </font>
    <font>
      <b val="1"/>
      <color rgb="0000175A"/>
      <sz val="12"/>
    </font>
    <font>
      <color rgb="00888B8D"/>
      <sz val="9"/>
    </font>
    <font>
      <b val="1"/>
    </font>
    <font>
      <b val="1"/>
      <color rgb="00C8102E"/>
    </font>
    <font>
      <i val="1"/>
      <color rgb="00888B8D"/>
    </font>
    <font>
      <b val="1"/>
      <color rgb="00FFFFFF"/>
    </font>
    <font>
      <color rgb="00888B8D"/>
    </font>
    <font>
      <b val="1"/>
      <color rgb="0000175A"/>
      <sz val="18"/>
    </font>
    <font>
      <b val="1"/>
      <color rgb="0000175A"/>
      <sz val="20"/>
    </font>
    <font>
      <b val="1"/>
      <color rgb="00888B8D"/>
      <sz val="9"/>
    </font>
  </fonts>
  <fills count="6">
    <fill>
      <patternFill/>
    </fill>
    <fill>
      <patternFill patternType="gray125"/>
    </fill>
    <fill>
      <patternFill patternType="solid">
        <fgColor rgb="0000175A"/>
      </patternFill>
    </fill>
    <fill>
      <patternFill patternType="solid">
        <fgColor rgb="00888B8D"/>
      </patternFill>
    </fill>
    <fill>
      <patternFill patternType="solid">
        <fgColor rgb="00EEF0F3"/>
      </patternFill>
    </fill>
    <fill>
      <patternFill patternType="solid">
        <fgColor rgb="00E6F0FA"/>
      </patternFill>
    </fill>
  </fills>
  <borders count="2">
    <border>
      <left/>
      <right/>
      <top/>
      <bottom/>
      <diagonal/>
    </border>
    <border>
      <left style="thin">
        <color rgb="00D9DEE5"/>
      </left>
      <right style="thin">
        <color rgb="00D9DEE5"/>
      </right>
      <top style="thin">
        <color rgb="00D9DEE5"/>
      </top>
      <bottom style="thin">
        <color rgb="00D9DEE5"/>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0" fillId="0" borderId="0" pivotButton="0" quotePrefix="0" xfId="0"/>
    <xf numFmtId="0" fontId="8" fillId="0" borderId="0" pivotButton="0" quotePrefix="0" xfId="0"/>
    <xf numFmtId="0" fontId="11" fillId="5" borderId="1" applyAlignment="1" pivotButton="0" quotePrefix="0" xfId="0">
      <alignment vertical="top" wrapText="1"/>
    </xf>
    <xf numFmtId="0" fontId="10" fillId="5" borderId="1" applyAlignment="1" pivotButton="0" quotePrefix="0" xfId="0">
      <alignment horizontal="left"/>
    </xf>
    <xf numFmtId="0" fontId="2" fillId="0" borderId="0" pivotButton="0" quotePrefix="0" xfId="0"/>
    <xf numFmtId="0" fontId="7" fillId="2" borderId="0" pivotButton="0" quotePrefix="0" xfId="0"/>
    <xf numFmtId="0" fontId="0" fillId="0" borderId="1" applyAlignment="1" pivotButton="0" quotePrefix="0" xfId="0">
      <alignment vertical="top"/>
    </xf>
    <xf numFmtId="0" fontId="0" fillId="0" borderId="1" applyAlignment="1" pivotButton="0" quotePrefix="0" xfId="0">
      <alignment vertical="top" wrapText="1"/>
    </xf>
    <xf numFmtId="0" fontId="0" fillId="0" borderId="1" pivotButton="0" quotePrefix="0" xfId="0"/>
    <xf numFmtId="0" fontId="1"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vertical="top" wrapText="1"/>
    </xf>
    <xf numFmtId="0" fontId="7" fillId="3" borderId="1" applyAlignment="1" pivotButton="0" quotePrefix="0" xfId="0">
      <alignment vertical="top" wrapText="1"/>
    </xf>
    <xf numFmtId="0" fontId="0" fillId="4" borderId="1" pivotButton="0" quotePrefix="0" xfId="0"/>
    <xf numFmtId="0" fontId="0" fillId="4" borderId="1" applyAlignment="1" pivotButton="0" quotePrefix="0" xfId="0">
      <alignment vertical="top"/>
    </xf>
    <xf numFmtId="0" fontId="8" fillId="0" borderId="1" pivotButton="0" quotePrefix="0" xfId="0"/>
    <xf numFmtId="0" fontId="9" fillId="0" borderId="0" pivotButton="0" quotePrefix="0" xfId="0"/>
    <xf numFmtId="0" fontId="4" fillId="0" borderId="0" pivotButton="0" quotePrefix="0" xfId="0"/>
  </cellXfs>
  <cellStyles count="1">
    <cellStyle name="Normal" xfId="0" builtinId="0" hidden="0"/>
  </cellStyles>
  <dxfs count="11">
    <dxf>
      <font>
        <b val="1"/>
        <color rgb="00C8102E"/>
      </font>
      <fill>
        <patternFill patternType="solid">
          <fgColor rgb="00FDECEA"/>
        </patternFill>
      </fill>
    </dxf>
    <dxf>
      <font>
        <b val="1"/>
        <color rgb="008A5A00"/>
      </font>
      <fill>
        <patternFill patternType="solid">
          <fgColor rgb="00FFF4D6"/>
        </patternFill>
      </fill>
    </dxf>
    <dxf>
      <font>
        <b val="1"/>
        <color rgb="004A4F55"/>
      </font>
      <fill>
        <patternFill patternType="solid">
          <fgColor rgb="00ECEEF1"/>
        </patternFill>
      </fill>
    </dxf>
    <dxf>
      <font>
        <b val="1"/>
        <color rgb="002E8540"/>
      </font>
      <fill>
        <patternFill patternType="solid">
          <fgColor rgb="00E7F4EA"/>
        </patternFill>
      </fill>
    </dxf>
    <dxf>
      <fill>
        <patternFill patternType="solid">
          <fgColor rgb="00FFF7E0"/>
        </patternFill>
      </fill>
    </dxf>
    <dxf>
      <fill>
        <patternFill patternType="solid">
          <fgColor rgb="00FFB900"/>
        </patternFill>
      </fill>
    </dxf>
    <dxf>
      <fill>
        <patternFill patternType="solid">
          <fgColor rgb="00FDECEA"/>
        </patternFill>
      </fill>
    </dxf>
    <dxf>
      <fill>
        <patternFill patternType="solid">
          <fgColor rgb="00FFF4D6"/>
        </patternFill>
      </fill>
    </dxf>
    <dxf>
      <fill>
        <patternFill patternType="solid">
          <fgColor rgb="00ECEEF1"/>
        </patternFill>
      </fill>
    </dxf>
    <dxf>
      <fill>
        <patternFill patternType="solid">
          <fgColor rgb="00E6F0FA"/>
        </patternFill>
      </fill>
    </dxf>
    <dxf>
      <fill>
        <patternFill patternType="solid">
          <fgColor rgb="00E7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 Type="http://schemas.openxmlformats.org/officeDocument/2006/relationships/chart" Target="/xl/charts/chart4.xml" Id="rId2"/></Relationships>
</file>

<file path=xl/drawings/_rels/drawing3.xml.rels><Relationships xmlns="http://schemas.openxmlformats.org/package/2006/relationships"><Relationship Type="http://schemas.openxmlformats.org/officeDocument/2006/relationships/chart" Target="/xl/charts/chart5.xml" Id="rId1"/><Relationship Type="http://schemas.openxmlformats.org/officeDocument/2006/relationships/chart" Target="/xl/charts/chart6.xml" Id="rId2"/></Relationships>
</file>

<file path=xl/drawings/drawing1.xml><?xml version="1.0" encoding="utf-8"?>
<wsDr xmlns="http://schemas.openxmlformats.org/drawingml/2006/spreadsheetDrawing">
  <oneCellAnchor>
    <from>
      <col>1</col>
      <colOff>0</colOff>
      <row>6</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6</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8</col>
      <colOff>0</colOff>
      <row>2</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16</row>
      <rowOff>0</rowOff>
    </from>
    <ext cx="57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3.xml><?xml version="1.0" encoding="utf-8"?>
<wsDr xmlns="http://schemas.openxmlformats.org/drawingml/2006/spreadsheetDrawing">
  <oneCellAnchor>
    <from>
      <col>0</col>
      <colOff>0</colOff>
      <row>48</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48</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8.xml.rels><Relationships xmlns="http://schemas.openxmlformats.org/package/2006/relationships"><Relationship Type="http://schemas.openxmlformats.org/officeDocument/2006/relationships/drawing" Target="/xl/drawings/drawing2.xml" Id="rId1"/></Relationships>
</file>

<file path=xl/worksheets/_rels/sheet9.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18" customWidth="1" min="1" max="1"/>
  </cols>
  <sheetData>
    <row r="1">
      <c r="A1" s="1" t="inlineStr">
        <is>
          <t>Departure–arrival assumptions grid</t>
        </is>
      </c>
    </row>
    <row r="2">
      <c r="A2" s="2" t="inlineStr">
        <is>
          <t>Lay the point of departure (how it works today, from the client's own data) against the point of arrival (how it will work) for every characteristic that can move volume, handle time or supply. Call each difference. The register, the two panels and the one-pager build themselves.</t>
        </is>
      </c>
    </row>
    <row r="3">
      <c r="A3" s="3" t="inlineStr">
        <is>
          <t>Where you type</t>
        </is>
      </c>
    </row>
    <row r="4">
      <c r="A4" s="2" t="inlineStr">
        <is>
          <t>• Set the table — the migration, its archetype, the departure baseline and the approach.</t>
        </is>
      </c>
    </row>
    <row r="5">
      <c r="A5" s="2" t="inlineStr">
        <is>
          <t>• Grid — columns A to P. Gray columns to the right are computed: do not type in them.</t>
        </is>
      </c>
    </row>
    <row r="6">
      <c r="A6" s="2" t="inlineStr">
        <is>
          <t>• Change log — one dated line whenever a direction changes or an assumption fails.</t>
        </is>
      </c>
    </row>
    <row r="7">
      <c r="A7" s="2" t="inlineStr">
        <is>
          <t>• Questions — every clarifying question, to the row's owner, with its status (Open, Asked, Answered, Closed) and the answer.</t>
        </is>
      </c>
    </row>
    <row r="8">
      <c r="A8" s="3" t="inlineStr">
        <is>
          <t>What builds itself</t>
        </is>
      </c>
    </row>
    <row r="9">
      <c r="A9" s="2" t="inlineStr">
        <is>
          <t>• Register — every Watch, Problem or Unknown row, ranked by width of the FTE range × weakness of the evidence.</t>
        </is>
      </c>
    </row>
    <row r="10">
      <c r="A10" s="2" t="inlineStr">
        <is>
          <t>• Panels — panel 1, the bridge from the departure baseline to the plan (central FTE effects summed by what they drive); panel 2, the tornado of the five highest-ranked open rows.</t>
        </is>
      </c>
    </row>
    <row r="11">
      <c r="A11" s="2" t="inlineStr">
        <is>
          <t>• Dashboard — the plan against the baseline, the counts, both charts, the problems, the top five open assumptions and open questions by owner. Print it landscape on one page.</t>
        </is>
      </c>
    </row>
    <row r="12">
      <c r="A12" s="2" t="inlineStr">
        <is>
          <t>• One-pager — the header, the approach, the Problem and Watch rows, the unknowns with owners, and both charts. Print it one page wide.</t>
        </is>
      </c>
    </row>
    <row r="13">
      <c r="A13" s="3" t="inlineStr">
        <is>
          <t>How to call a difference</t>
        </is>
      </c>
    </row>
    <row r="14">
      <c r="A14" s="2" t="inlineStr">
        <is>
          <t>Same: no difference. Acceptable: different, but changes no number. Watch: changes a number; carry its FTE effect and a range, and let the evidence grade say how firm it is. Problem: the work cannot land as planned unless someone acts, whatever its FTE effect. Unknown: a value is not held; give an owner and a date.</t>
        </is>
      </c>
    </row>
    <row r="15">
      <c r="A15" s="2" t="inlineStr">
        <is>
          <t>Grade the weaker of the two values on a row.</t>
        </is>
      </c>
    </row>
    <row r="16">
      <c r="A16" s="3" t="inlineStr">
        <is>
          <t>Rules</t>
        </is>
      </c>
    </row>
    <row r="17">
      <c r="A17" s="2" t="inlineStr">
        <is>
          <t>Rule 1. The departure baseline is the client's own history for the migrating markets, pre-migration months only — never a platform norm or a whole-account average.</t>
        </is>
      </c>
    </row>
    <row r="18">
      <c r="A18" s="2" t="inlineStr">
        <is>
          <t>Rule 2. Ranges, never single numbers, with the assumption visible.</t>
        </is>
      </c>
    </row>
    <row r="19">
      <c r="A19" s="2" t="inlineStr">
        <is>
          <t>Rule 3. Nobody signs a go-live without laying the incoming plan against the outgoing plan.</t>
        </is>
      </c>
    </row>
    <row r="20">
      <c r="A20" s="2" t="inlineStr">
        <is>
          <t>Evidence: Established (measured, defined, sourced) · Inferred (derived by a stated method) · Asserted (said, not shown) · Open (no value yet: owner and date instead). Weights for ranking: 0.2 · 0.5 · 0.8 · 1.0.</t>
        </is>
      </c>
    </row>
    <row r="21">
      <c r="A21" s="2" t="inlineStr">
        <is>
          <t>Archetypes: A lift and shift · B platform change · C experience change · D ownership or location. A, B and C are exclusive: choose at most one. D may accompany any of them, or stand alone. The declared archetype marks the rows that are mandatory for it (gold #); a shaded row is mandatory and still empty.</t>
        </is>
      </c>
    </row>
    <row r="22">
      <c r="A22" s="2" t="inlineStr">
        <is>
          <t>Stop rule: the top twenty to thirty characteristics. Past about ten per channel the rows stop changing any number.</t>
        </is>
      </c>
    </row>
    <row r="23">
      <c r="A23" s="2" t="inlineStr">
        <is>
          <t>Known limit: an Excel chart axis cannot follow a cell, so the bridge starts at zero; the exact figures are in the table beside it.</t>
        </is>
      </c>
    </row>
    <row r="24">
      <c r="A24" s="2" t="inlineStr">
        <is>
          <t>To retire a row, set its call to Acceptable or Same and clear its FTE central, low and high. Rows with no characteristic are ignored everywhere.</t>
        </is>
      </c>
    </row>
    <row r="25">
      <c r="A25" s="4" t="inlineStr">
        <is>
          <t>Data schema pod-poa-grid/1.</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B1:I49"/>
  <sheetViews>
    <sheetView workbookViewId="0">
      <selection activeCell="A1" sqref="A1"/>
    </sheetView>
  </sheetViews>
  <sheetFormatPr baseColWidth="8" defaultRowHeight="15"/>
  <cols>
    <col width="2" customWidth="1" min="1" max="1"/>
    <col width="12" customWidth="1" min="2" max="2"/>
    <col width="44" customWidth="1" min="3" max="3"/>
    <col width="20" customWidth="1" min="4" max="4"/>
    <col width="20" customWidth="1" min="5" max="5"/>
    <col width="16" customWidth="1" min="6" max="6"/>
    <col width="16" customWidth="1" min="7" max="7"/>
    <col width="14" customWidth="1" min="8" max="8"/>
    <col width="16" customWidth="1" min="9" max="9"/>
  </cols>
  <sheetData>
    <row r="1">
      <c r="B1" s="5">
        <f>'One-pager'!A1</f>
        <v/>
      </c>
    </row>
    <row r="2">
      <c r="B2" s="6">
        <f>'One-pager'!A2</f>
        <v/>
      </c>
    </row>
    <row r="4">
      <c r="B4" s="7" t="inlineStr">
        <is>
          <t>Plan, FTE</t>
        </is>
      </c>
      <c r="C4" s="7" t="inlineStr">
        <is>
          <t>Baseline, FTE</t>
        </is>
      </c>
      <c r="D4" s="7" t="inlineStr">
        <is>
          <t>Problem</t>
        </is>
      </c>
      <c r="E4" s="7" t="inlineStr">
        <is>
          <t>Watch</t>
        </is>
      </c>
      <c r="F4" s="7" t="inlineStr">
        <is>
          <t>Unknown</t>
        </is>
      </c>
      <c r="G4" s="7" t="inlineStr">
        <is>
          <t>Mandatory still empty</t>
        </is>
      </c>
      <c r="H4" s="7" t="inlineStr">
        <is>
          <t>Open questions</t>
        </is>
      </c>
      <c r="I4" s="7" t="inlineStr">
        <is>
          <t>Change-log entries</t>
        </is>
      </c>
    </row>
    <row r="5" ht="30" customHeight="1">
      <c r="B5" s="8">
        <f>Panels!B14</f>
        <v/>
      </c>
      <c r="C5" s="8">
        <f>Panels!B4</f>
        <v/>
      </c>
      <c r="D5" s="8">
        <f>COUNTIF(Grid!$F$4:$F$63,"Problem")</f>
        <v/>
      </c>
      <c r="E5" s="8">
        <f>COUNTIF(Grid!$F$4:$F$63,"Watch")</f>
        <v/>
      </c>
      <c r="F5" s="8">
        <f>COUNTIF(Grid!$F$4:$F$63,"Unknown")</f>
        <v/>
      </c>
      <c r="G5" s="8">
        <f>COUNTIF(Grid!$R$4:$R$63,"Gap")</f>
        <v/>
      </c>
      <c r="H5" s="8">
        <f>COUNTIFS(Questions!$E$4:$E$153,"&lt;&gt;",Questions!$H$4:$H$153,"Open")+COUNTIFS(Questions!$E$4:$E$153,"&lt;&gt;",Questions!$H$4:$H$153,"Asked")</f>
        <v/>
      </c>
      <c r="I5" s="8">
        <f>COUNTA('Change log'!$C$4:$C$203)</f>
        <v/>
      </c>
    </row>
    <row r="25">
      <c r="B25" s="9" t="inlineStr">
        <is>
          <t>Problems — the work cannot land as planned unless someone acts</t>
        </is>
      </c>
    </row>
    <row r="26">
      <c r="B26" s="10" t="inlineStr">
        <is>
          <t>#</t>
        </is>
      </c>
      <c r="C26" s="10" t="inlineStr">
        <is>
          <t>Characteristic</t>
        </is>
      </c>
      <c r="D26" s="10" t="inlineStr">
        <is>
          <t>Departure</t>
        </is>
      </c>
      <c r="E26" s="10" t="inlineStr">
        <is>
          <t>Arrival</t>
        </is>
      </c>
      <c r="F26" s="10" t="inlineStr">
        <is>
          <t>FTE</t>
        </is>
      </c>
      <c r="G26" s="10" t="inlineStr">
        <is>
          <t>Owner</t>
        </is>
      </c>
      <c r="H26" s="10" t="inlineStr">
        <is>
          <t>Date</t>
        </is>
      </c>
    </row>
    <row r="27">
      <c r="B27" s="11">
        <f>IFERROR(SMALL(Grid!$Z$4:$Z$63,1),"")</f>
        <v/>
      </c>
      <c r="C27" s="12">
        <f>IFERROR(IF(INDEX(Grid!$C$4:$C$63,SMALL(Grid!$Z$4:$Z$63,1))="","",INDEX(Grid!$C$4:$C$63,SMALL(Grid!$Z$4:$Z$63,1))),"")</f>
        <v/>
      </c>
      <c r="D27" s="12">
        <f>IFERROR(IF(INDEX(Grid!$D$4:$D$63,SMALL(Grid!$Z$4:$Z$63,1))="","",INDEX(Grid!$D$4:$D$63,SMALL(Grid!$Z$4:$Z$63,1))),"")</f>
        <v/>
      </c>
      <c r="E27" s="12">
        <f>IFERROR(IF(INDEX(Grid!$E$4:$E$63,SMALL(Grid!$Z$4:$Z$63,1))="","",INDEX(Grid!$E$4:$E$63,SMALL(Grid!$Z$4:$Z$63,1))),"")</f>
        <v/>
      </c>
      <c r="F27" s="11">
        <f>IFERROR(IF(ISNUMBER(INDEX(Grid!$I$4:$I$63,SMALL(Grid!$Z$4:$Z$63,1))),INDEX(Grid!$I$4:$I$63,SMALL(Grid!$Z$4:$Z$63,1)),"not sized"),"")</f>
        <v/>
      </c>
      <c r="G27" s="11">
        <f>IFERROR(IF(INDEX(Grid!$M$4:$M$63,SMALL(Grid!$Z$4:$Z$63,1))="","",INDEX(Grid!$M$4:$M$63,SMALL(Grid!$Z$4:$Z$63,1))),"")</f>
        <v/>
      </c>
      <c r="H27" s="11">
        <f>IFERROR(IF(INDEX(Grid!$N$4:$N$63,SMALL(Grid!$Z$4:$Z$63,1))="","",INDEX(Grid!$N$4:$N$63,SMALL(Grid!$Z$4:$Z$63,1))),"")</f>
        <v/>
      </c>
    </row>
    <row r="28">
      <c r="B28" s="11">
        <f>IFERROR(SMALL(Grid!$Z$4:$Z$63,2),"")</f>
        <v/>
      </c>
      <c r="C28" s="12">
        <f>IFERROR(IF(INDEX(Grid!$C$4:$C$63,SMALL(Grid!$Z$4:$Z$63,2))="","",INDEX(Grid!$C$4:$C$63,SMALL(Grid!$Z$4:$Z$63,2))),"")</f>
        <v/>
      </c>
      <c r="D28" s="12">
        <f>IFERROR(IF(INDEX(Grid!$D$4:$D$63,SMALL(Grid!$Z$4:$Z$63,2))="","",INDEX(Grid!$D$4:$D$63,SMALL(Grid!$Z$4:$Z$63,2))),"")</f>
        <v/>
      </c>
      <c r="E28" s="12">
        <f>IFERROR(IF(INDEX(Grid!$E$4:$E$63,SMALL(Grid!$Z$4:$Z$63,2))="","",INDEX(Grid!$E$4:$E$63,SMALL(Grid!$Z$4:$Z$63,2))),"")</f>
        <v/>
      </c>
      <c r="F28" s="11">
        <f>IFERROR(IF(ISNUMBER(INDEX(Grid!$I$4:$I$63,SMALL(Grid!$Z$4:$Z$63,2))),INDEX(Grid!$I$4:$I$63,SMALL(Grid!$Z$4:$Z$63,2)),"not sized"),"")</f>
        <v/>
      </c>
      <c r="G28" s="11">
        <f>IFERROR(IF(INDEX(Grid!$M$4:$M$63,SMALL(Grid!$Z$4:$Z$63,2))="","",INDEX(Grid!$M$4:$M$63,SMALL(Grid!$Z$4:$Z$63,2))),"")</f>
        <v/>
      </c>
      <c r="H28" s="11">
        <f>IFERROR(IF(INDEX(Grid!$N$4:$N$63,SMALL(Grid!$Z$4:$Z$63,2))="","",INDEX(Grid!$N$4:$N$63,SMALL(Grid!$Z$4:$Z$63,2))),"")</f>
        <v/>
      </c>
    </row>
    <row r="29">
      <c r="B29" s="11">
        <f>IFERROR(SMALL(Grid!$Z$4:$Z$63,3),"")</f>
        <v/>
      </c>
      <c r="C29" s="12">
        <f>IFERROR(IF(INDEX(Grid!$C$4:$C$63,SMALL(Grid!$Z$4:$Z$63,3))="","",INDEX(Grid!$C$4:$C$63,SMALL(Grid!$Z$4:$Z$63,3))),"")</f>
        <v/>
      </c>
      <c r="D29" s="12">
        <f>IFERROR(IF(INDEX(Grid!$D$4:$D$63,SMALL(Grid!$Z$4:$Z$63,3))="","",INDEX(Grid!$D$4:$D$63,SMALL(Grid!$Z$4:$Z$63,3))),"")</f>
        <v/>
      </c>
      <c r="E29" s="12">
        <f>IFERROR(IF(INDEX(Grid!$E$4:$E$63,SMALL(Grid!$Z$4:$Z$63,3))="","",INDEX(Grid!$E$4:$E$63,SMALL(Grid!$Z$4:$Z$63,3))),"")</f>
        <v/>
      </c>
      <c r="F29" s="11">
        <f>IFERROR(IF(ISNUMBER(INDEX(Grid!$I$4:$I$63,SMALL(Grid!$Z$4:$Z$63,3))),INDEX(Grid!$I$4:$I$63,SMALL(Grid!$Z$4:$Z$63,3)),"not sized"),"")</f>
        <v/>
      </c>
      <c r="G29" s="11">
        <f>IFERROR(IF(INDEX(Grid!$M$4:$M$63,SMALL(Grid!$Z$4:$Z$63,3))="","",INDEX(Grid!$M$4:$M$63,SMALL(Grid!$Z$4:$Z$63,3))),"")</f>
        <v/>
      </c>
      <c r="H29" s="11">
        <f>IFERROR(IF(INDEX(Grid!$N$4:$N$63,SMALL(Grid!$Z$4:$Z$63,3))="","",INDEX(Grid!$N$4:$N$63,SMALL(Grid!$Z$4:$Z$63,3))),"")</f>
        <v/>
      </c>
    </row>
    <row r="30">
      <c r="B30" s="11">
        <f>IFERROR(SMALL(Grid!$Z$4:$Z$63,4),"")</f>
        <v/>
      </c>
      <c r="C30" s="12">
        <f>IFERROR(IF(INDEX(Grid!$C$4:$C$63,SMALL(Grid!$Z$4:$Z$63,4))="","",INDEX(Grid!$C$4:$C$63,SMALL(Grid!$Z$4:$Z$63,4))),"")</f>
        <v/>
      </c>
      <c r="D30" s="12">
        <f>IFERROR(IF(INDEX(Grid!$D$4:$D$63,SMALL(Grid!$Z$4:$Z$63,4))="","",INDEX(Grid!$D$4:$D$63,SMALL(Grid!$Z$4:$Z$63,4))),"")</f>
        <v/>
      </c>
      <c r="E30" s="12">
        <f>IFERROR(IF(INDEX(Grid!$E$4:$E$63,SMALL(Grid!$Z$4:$Z$63,4))="","",INDEX(Grid!$E$4:$E$63,SMALL(Grid!$Z$4:$Z$63,4))),"")</f>
        <v/>
      </c>
      <c r="F30" s="11">
        <f>IFERROR(IF(ISNUMBER(INDEX(Grid!$I$4:$I$63,SMALL(Grid!$Z$4:$Z$63,4))),INDEX(Grid!$I$4:$I$63,SMALL(Grid!$Z$4:$Z$63,4)),"not sized"),"")</f>
        <v/>
      </c>
      <c r="G30" s="11">
        <f>IFERROR(IF(INDEX(Grid!$M$4:$M$63,SMALL(Grid!$Z$4:$Z$63,4))="","",INDEX(Grid!$M$4:$M$63,SMALL(Grid!$Z$4:$Z$63,4))),"")</f>
        <v/>
      </c>
      <c r="H30" s="11">
        <f>IFERROR(IF(INDEX(Grid!$N$4:$N$63,SMALL(Grid!$Z$4:$Z$63,4))="","",INDEX(Grid!$N$4:$N$63,SMALL(Grid!$Z$4:$Z$63,4))),"")</f>
        <v/>
      </c>
    </row>
    <row r="31">
      <c r="B31" s="11">
        <f>IFERROR(SMALL(Grid!$Z$4:$Z$63,5),"")</f>
        <v/>
      </c>
      <c r="C31" s="12">
        <f>IFERROR(IF(INDEX(Grid!$C$4:$C$63,SMALL(Grid!$Z$4:$Z$63,5))="","",INDEX(Grid!$C$4:$C$63,SMALL(Grid!$Z$4:$Z$63,5))),"")</f>
        <v/>
      </c>
      <c r="D31" s="12">
        <f>IFERROR(IF(INDEX(Grid!$D$4:$D$63,SMALL(Grid!$Z$4:$Z$63,5))="","",INDEX(Grid!$D$4:$D$63,SMALL(Grid!$Z$4:$Z$63,5))),"")</f>
        <v/>
      </c>
      <c r="E31" s="12">
        <f>IFERROR(IF(INDEX(Grid!$E$4:$E$63,SMALL(Grid!$Z$4:$Z$63,5))="","",INDEX(Grid!$E$4:$E$63,SMALL(Grid!$Z$4:$Z$63,5))),"")</f>
        <v/>
      </c>
      <c r="F31" s="11">
        <f>IFERROR(IF(ISNUMBER(INDEX(Grid!$I$4:$I$63,SMALL(Grid!$Z$4:$Z$63,5))),INDEX(Grid!$I$4:$I$63,SMALL(Grid!$Z$4:$Z$63,5)),"not sized"),"")</f>
        <v/>
      </c>
      <c r="G31" s="11">
        <f>IFERROR(IF(INDEX(Grid!$M$4:$M$63,SMALL(Grid!$Z$4:$Z$63,5))="","",INDEX(Grid!$M$4:$M$63,SMALL(Grid!$Z$4:$Z$63,5))),"")</f>
        <v/>
      </c>
      <c r="H31" s="11">
        <f>IFERROR(IF(INDEX(Grid!$N$4:$N$63,SMALL(Grid!$Z$4:$Z$63,5))="","",INDEX(Grid!$N$4:$N$63,SMALL(Grid!$Z$4:$Z$63,5))),"")</f>
        <v/>
      </c>
    </row>
    <row r="32">
      <c r="B32" s="11">
        <f>IFERROR(SMALL(Grid!$Z$4:$Z$63,6),"")</f>
        <v/>
      </c>
      <c r="C32" s="12">
        <f>IFERROR(IF(INDEX(Grid!$C$4:$C$63,SMALL(Grid!$Z$4:$Z$63,6))="","",INDEX(Grid!$C$4:$C$63,SMALL(Grid!$Z$4:$Z$63,6))),"")</f>
        <v/>
      </c>
      <c r="D32" s="12">
        <f>IFERROR(IF(INDEX(Grid!$D$4:$D$63,SMALL(Grid!$Z$4:$Z$63,6))="","",INDEX(Grid!$D$4:$D$63,SMALL(Grid!$Z$4:$Z$63,6))),"")</f>
        <v/>
      </c>
      <c r="E32" s="12">
        <f>IFERROR(IF(INDEX(Grid!$E$4:$E$63,SMALL(Grid!$Z$4:$Z$63,6))="","",INDEX(Grid!$E$4:$E$63,SMALL(Grid!$Z$4:$Z$63,6))),"")</f>
        <v/>
      </c>
      <c r="F32" s="11">
        <f>IFERROR(IF(ISNUMBER(INDEX(Grid!$I$4:$I$63,SMALL(Grid!$Z$4:$Z$63,6))),INDEX(Grid!$I$4:$I$63,SMALL(Grid!$Z$4:$Z$63,6)),"not sized"),"")</f>
        <v/>
      </c>
      <c r="G32" s="11">
        <f>IFERROR(IF(INDEX(Grid!$M$4:$M$63,SMALL(Grid!$Z$4:$Z$63,6))="","",INDEX(Grid!$M$4:$M$63,SMALL(Grid!$Z$4:$Z$63,6))),"")</f>
        <v/>
      </c>
      <c r="H32" s="11">
        <f>IFERROR(IF(INDEX(Grid!$N$4:$N$63,SMALL(Grid!$Z$4:$Z$63,6))="","",INDEX(Grid!$N$4:$N$63,SMALL(Grid!$Z$4:$Z$63,6))),"")</f>
        <v/>
      </c>
    </row>
    <row r="34">
      <c r="B34" s="9" t="inlineStr">
        <is>
          <t>Top five open assumptions — what to confirm first</t>
        </is>
      </c>
    </row>
    <row r="35">
      <c r="B35" s="10" t="inlineStr">
        <is>
          <t>R</t>
        </is>
      </c>
      <c r="C35" s="10" t="inlineStr">
        <is>
          <t>Characteristic</t>
        </is>
      </c>
      <c r="D35" s="10" t="inlineStr">
        <is>
          <t>Call</t>
        </is>
      </c>
      <c r="E35" s="10" t="inlineStr">
        <is>
          <t>FTE range</t>
        </is>
      </c>
      <c r="F35" s="10" t="inlineStr">
        <is>
          <t>Evidence</t>
        </is>
      </c>
      <c r="G35" s="10" t="inlineStr">
        <is>
          <t>Owner</t>
        </is>
      </c>
      <c r="H35" s="10" t="inlineStr">
        <is>
          <t>Date</t>
        </is>
      </c>
    </row>
    <row r="36">
      <c r="B36" s="11">
        <f>Register!A4</f>
        <v/>
      </c>
      <c r="C36" s="12">
        <f>Register!C4</f>
        <v/>
      </c>
      <c r="D36" s="12">
        <f>Register!D4</f>
        <v/>
      </c>
      <c r="E36" s="12">
        <f>IF(Register!F4="","no range",IF(Register!F4&gt;0,"+","")&amp;Register!F4&amp;" / "&amp;IF(Register!G4&gt;0,"+","")&amp;Register!G4)</f>
        <v/>
      </c>
      <c r="F36" s="11">
        <f>Register!H4</f>
        <v/>
      </c>
      <c r="G36" s="11">
        <f>Register!J4</f>
        <v/>
      </c>
      <c r="H36" s="11">
        <f>Register!K4</f>
        <v/>
      </c>
    </row>
    <row r="37">
      <c r="B37" s="11">
        <f>Register!A5</f>
        <v/>
      </c>
      <c r="C37" s="12">
        <f>Register!C5</f>
        <v/>
      </c>
      <c r="D37" s="12">
        <f>Register!D5</f>
        <v/>
      </c>
      <c r="E37" s="12">
        <f>IF(Register!F5="","no range",IF(Register!F5&gt;0,"+","")&amp;Register!F5&amp;" / "&amp;IF(Register!G5&gt;0,"+","")&amp;Register!G5)</f>
        <v/>
      </c>
      <c r="F37" s="11">
        <f>Register!H5</f>
        <v/>
      </c>
      <c r="G37" s="11">
        <f>Register!J5</f>
        <v/>
      </c>
      <c r="H37" s="11">
        <f>Register!K5</f>
        <v/>
      </c>
    </row>
    <row r="38">
      <c r="B38" s="11">
        <f>Register!A6</f>
        <v/>
      </c>
      <c r="C38" s="12">
        <f>Register!C6</f>
        <v/>
      </c>
      <c r="D38" s="12">
        <f>Register!D6</f>
        <v/>
      </c>
      <c r="E38" s="12">
        <f>IF(Register!F6="","no range",IF(Register!F6&gt;0,"+","")&amp;Register!F6&amp;" / "&amp;IF(Register!G6&gt;0,"+","")&amp;Register!G6)</f>
        <v/>
      </c>
      <c r="F38" s="11">
        <f>Register!H6</f>
        <v/>
      </c>
      <c r="G38" s="11">
        <f>Register!J6</f>
        <v/>
      </c>
      <c r="H38" s="11">
        <f>Register!K6</f>
        <v/>
      </c>
    </row>
    <row r="39">
      <c r="B39" s="11">
        <f>Register!A7</f>
        <v/>
      </c>
      <c r="C39" s="12">
        <f>Register!C7</f>
        <v/>
      </c>
      <c r="D39" s="12">
        <f>Register!D7</f>
        <v/>
      </c>
      <c r="E39" s="12">
        <f>IF(Register!F7="","no range",IF(Register!F7&gt;0,"+","")&amp;Register!F7&amp;" / "&amp;IF(Register!G7&gt;0,"+","")&amp;Register!G7)</f>
        <v/>
      </c>
      <c r="F39" s="11">
        <f>Register!H7</f>
        <v/>
      </c>
      <c r="G39" s="11">
        <f>Register!J7</f>
        <v/>
      </c>
      <c r="H39" s="11">
        <f>Register!K7</f>
        <v/>
      </c>
    </row>
    <row r="40">
      <c r="B40" s="11">
        <f>Register!A8</f>
        <v/>
      </c>
      <c r="C40" s="12">
        <f>Register!C8</f>
        <v/>
      </c>
      <c r="D40" s="12">
        <f>Register!D8</f>
        <v/>
      </c>
      <c r="E40" s="12">
        <f>IF(Register!F8="","no range",IF(Register!F8&gt;0,"+","")&amp;Register!F8&amp;" / "&amp;IF(Register!G8&gt;0,"+","")&amp;Register!G8)</f>
        <v/>
      </c>
      <c r="F40" s="11">
        <f>Register!H8</f>
        <v/>
      </c>
      <c r="G40" s="11">
        <f>Register!J8</f>
        <v/>
      </c>
      <c r="H40" s="11">
        <f>Register!K8</f>
        <v/>
      </c>
    </row>
    <row r="42">
      <c r="B42" s="9" t="inlineStr">
        <is>
          <t>Questions by owner</t>
        </is>
      </c>
    </row>
    <row r="43">
      <c r="C43" s="10" t="inlineStr">
        <is>
          <t>Owner</t>
        </is>
      </c>
      <c r="D43" s="10" t="inlineStr">
        <is>
          <t>Open</t>
        </is>
      </c>
      <c r="E43" s="10" t="inlineStr">
        <is>
          <t>Asked</t>
        </is>
      </c>
      <c r="F43" s="10" t="inlineStr">
        <is>
          <t>Answered</t>
        </is>
      </c>
      <c r="G43" s="10" t="inlineStr">
        <is>
          <t>Closed</t>
        </is>
      </c>
    </row>
    <row r="44">
      <c r="C44" s="13" t="inlineStr">
        <is>
          <t>departure lead</t>
        </is>
      </c>
      <c r="D44" s="13">
        <f>COUNTIFS(Questions!$D$4:$D$153,$C44,Questions!$E$4:$E$153,"&lt;&gt;",Questions!$H$4:$H$153,"Open")</f>
        <v/>
      </c>
      <c r="E44" s="13">
        <f>COUNTIFS(Questions!$D$4:$D$153,$C44,Questions!$E$4:$E$153,"&lt;&gt;",Questions!$H$4:$H$153,"Asked")</f>
        <v/>
      </c>
      <c r="F44" s="13">
        <f>COUNTIFS(Questions!$D$4:$D$153,$C44,Questions!$E$4:$E$153,"&lt;&gt;",Questions!$H$4:$H$153,"Answered")</f>
        <v/>
      </c>
      <c r="G44" s="13">
        <f>COUNTIFS(Questions!$D$4:$D$153,$C44,Questions!$E$4:$E$153,"&lt;&gt;",Questions!$H$4:$H$153,"Closed")</f>
        <v/>
      </c>
    </row>
    <row r="45">
      <c r="C45" s="13" t="inlineStr">
        <is>
          <t>arrival lead</t>
        </is>
      </c>
      <c r="D45" s="13">
        <f>COUNTIFS(Questions!$D$4:$D$153,$C45,Questions!$E$4:$E$153,"&lt;&gt;",Questions!$H$4:$H$153,"Open")</f>
        <v/>
      </c>
      <c r="E45" s="13">
        <f>COUNTIFS(Questions!$D$4:$D$153,$C45,Questions!$E$4:$E$153,"&lt;&gt;",Questions!$H$4:$H$153,"Asked")</f>
        <v/>
      </c>
      <c r="F45" s="13">
        <f>COUNTIFS(Questions!$D$4:$D$153,$C45,Questions!$E$4:$E$153,"&lt;&gt;",Questions!$H$4:$H$153,"Answered")</f>
        <v/>
      </c>
      <c r="G45" s="13">
        <f>COUNTIFS(Questions!$D$4:$D$153,$C45,Questions!$E$4:$E$153,"&lt;&gt;",Questions!$H$4:$H$153,"Closed")</f>
        <v/>
      </c>
    </row>
    <row r="46">
      <c r="C46" s="13" t="inlineStr">
        <is>
          <t>operations lead</t>
        </is>
      </c>
      <c r="D46" s="13">
        <f>COUNTIFS(Questions!$D$4:$D$153,$C46,Questions!$E$4:$E$153,"&lt;&gt;",Questions!$H$4:$H$153,"Open")</f>
        <v/>
      </c>
      <c r="E46" s="13">
        <f>COUNTIFS(Questions!$D$4:$D$153,$C46,Questions!$E$4:$E$153,"&lt;&gt;",Questions!$H$4:$H$153,"Asked")</f>
        <v/>
      </c>
      <c r="F46" s="13">
        <f>COUNTIFS(Questions!$D$4:$D$153,$C46,Questions!$E$4:$E$153,"&lt;&gt;",Questions!$H$4:$H$153,"Answered")</f>
        <v/>
      </c>
      <c r="G46" s="13">
        <f>COUNTIFS(Questions!$D$4:$D$153,$C46,Questions!$E$4:$E$153,"&lt;&gt;",Questions!$H$4:$H$153,"Closed")</f>
        <v/>
      </c>
    </row>
    <row r="47">
      <c r="C47" s="13" t="inlineStr">
        <is>
          <t>sponsor</t>
        </is>
      </c>
      <c r="D47" s="13">
        <f>COUNTIFS(Questions!$D$4:$D$153,$C47,Questions!$E$4:$E$153,"&lt;&gt;",Questions!$H$4:$H$153,"Open")</f>
        <v/>
      </c>
      <c r="E47" s="13">
        <f>COUNTIFS(Questions!$D$4:$D$153,$C47,Questions!$E$4:$E$153,"&lt;&gt;",Questions!$H$4:$H$153,"Asked")</f>
        <v/>
      </c>
      <c r="F47" s="13">
        <f>COUNTIFS(Questions!$D$4:$D$153,$C47,Questions!$E$4:$E$153,"&lt;&gt;",Questions!$H$4:$H$153,"Answered")</f>
        <v/>
      </c>
      <c r="G47" s="13">
        <f>COUNTIFS(Questions!$D$4:$D$153,$C47,Questions!$E$4:$E$153,"&lt;&gt;",Questions!$H$4:$H$153,"Closed")</f>
        <v/>
      </c>
    </row>
    <row r="48">
      <c r="C48" s="13" t="inlineStr">
        <is>
          <t>modeler</t>
        </is>
      </c>
      <c r="D48" s="13">
        <f>COUNTIFS(Questions!$D$4:$D$153,$C48,Questions!$E$4:$E$153,"&lt;&gt;",Questions!$H$4:$H$153,"Open")</f>
        <v/>
      </c>
      <c r="E48" s="13">
        <f>COUNTIFS(Questions!$D$4:$D$153,$C48,Questions!$E$4:$E$153,"&lt;&gt;",Questions!$H$4:$H$153,"Asked")</f>
        <v/>
      </c>
      <c r="F48" s="13">
        <f>COUNTIFS(Questions!$D$4:$D$153,$C48,Questions!$E$4:$E$153,"&lt;&gt;",Questions!$H$4:$H$153,"Answered")</f>
        <v/>
      </c>
      <c r="G48" s="13">
        <f>COUNTIFS(Questions!$D$4:$D$153,$C48,Questions!$E$4:$E$153,"&lt;&gt;",Questions!$H$4:$H$153,"Closed")</f>
        <v/>
      </c>
    </row>
    <row r="49">
      <c r="C49" s="13" t="inlineStr">
        <is>
          <t>other</t>
        </is>
      </c>
      <c r="D49" s="13">
        <f>COUNTIFS(Questions!$E$4:$E$153,"&lt;&gt;",Questions!$H$4:$H$153,"Open")-SUM(D44:D48)</f>
        <v/>
      </c>
      <c r="E49" s="13">
        <f>COUNTIFS(Questions!$E$4:$E$153,"&lt;&gt;",Questions!$H$4:$H$153,"Asked")-SUM(E44:E48)</f>
        <v/>
      </c>
      <c r="F49" s="13">
        <f>COUNTIFS(Questions!$E$4:$E$153,"&lt;&gt;",Questions!$H$4:$H$153,"Answered")-SUM(F44:F48)</f>
        <v/>
      </c>
      <c r="G49" s="13">
        <f>COUNTIFS(Questions!$E$4:$E$153,"&lt;&gt;",Questions!$H$4:$H$153,"Closed")-SUM(G44:G48)</f>
        <v/>
      </c>
    </row>
  </sheetData>
  <pageMargins left="0.75" right="0.75" top="1" bottom="1" header="0.5" footer="0.5"/>
  <pageSetup orientation="landscape" fitToHeight="1"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1:D18"/>
  <sheetViews>
    <sheetView workbookViewId="0">
      <selection activeCell="A1" sqref="A1"/>
    </sheetView>
  </sheetViews>
  <sheetFormatPr baseColWidth="8" defaultRowHeight="15"/>
  <cols>
    <col width="3" customWidth="1" min="1" max="1"/>
    <col width="46" customWidth="1" min="2" max="2"/>
    <col width="90" customWidth="1" min="3" max="3"/>
    <col width="48" customWidth="1" min="4" max="4"/>
  </cols>
  <sheetData>
    <row r="1">
      <c r="B1" s="14" t="inlineStr">
        <is>
          <t>Set the table</t>
        </is>
      </c>
    </row>
    <row r="3">
      <c r="B3" s="2" t="inlineStr">
        <is>
          <t>Migration or program</t>
        </is>
      </c>
      <c r="C3" s="12" t="inlineStr"/>
    </row>
    <row r="4">
      <c r="B4" s="2" t="inlineStr">
        <is>
          <t>Archetype A · lift and shift</t>
        </is>
      </c>
      <c r="C4" s="12" t="inlineStr">
        <is>
          <t>No</t>
        </is>
      </c>
      <c r="D4" s="15">
        <f>IF(COUNTIF(C4:C6,"Yes")&gt;1,"A, B and C are exclusive: choose at most one. D may accompany any of them, or stand alone.","")</f>
        <v/>
      </c>
    </row>
    <row r="5">
      <c r="B5" s="2" t="inlineStr">
        <is>
          <t>Archetype B · platform change</t>
        </is>
      </c>
      <c r="C5" s="12" t="inlineStr">
        <is>
          <t>No</t>
        </is>
      </c>
    </row>
    <row r="6">
      <c r="B6" s="2" t="inlineStr">
        <is>
          <t>Archetype C · experience change</t>
        </is>
      </c>
      <c r="C6" s="12" t="inlineStr">
        <is>
          <t>No</t>
        </is>
      </c>
    </row>
    <row r="7">
      <c r="B7" s="2" t="inlineStr">
        <is>
          <t>Archetype D · ownership or location only</t>
        </is>
      </c>
      <c r="C7" s="12" t="inlineStr">
        <is>
          <t>No</t>
        </is>
      </c>
    </row>
    <row r="8">
      <c r="B8" s="2" t="inlineStr">
        <is>
          <t>From → to</t>
        </is>
      </c>
      <c r="C8" s="12" t="inlineStr"/>
    </row>
    <row r="9">
      <c r="B9" s="2" t="inlineStr">
        <is>
          <t>Markets, phases and dates</t>
        </is>
      </c>
      <c r="C9" s="12" t="inlineStr"/>
    </row>
    <row r="10">
      <c r="B10" s="2" t="inlineStr">
        <is>
          <t>Departure baseline, FTE</t>
        </is>
      </c>
      <c r="C10" s="12" t="n"/>
    </row>
    <row r="11">
      <c r="B11" s="2" t="inlineStr">
        <is>
          <t>Where the baseline comes from</t>
        </is>
      </c>
      <c r="C11" s="12" t="inlineStr"/>
    </row>
    <row r="12">
      <c r="B12" s="9" t="inlineStr">
        <is>
          <t>The approach, in six questions</t>
        </is>
      </c>
    </row>
    <row r="13">
      <c r="B13" s="2" t="inlineStr">
        <is>
          <t>Contacts per transaction: rate, denominator, source</t>
        </is>
      </c>
      <c r="C13" s="12" t="inlineStr"/>
    </row>
    <row r="14">
      <c r="B14" s="2" t="inlineStr">
        <is>
          <t>Broken to country level?</t>
        </is>
      </c>
      <c r="C14" s="12" t="inlineStr"/>
    </row>
    <row r="15">
      <c r="B15" s="2" t="inlineStr">
        <is>
          <t>Departure data: what we hold, and how clean</t>
        </is>
      </c>
      <c r="C15" s="12" t="inlineStr"/>
    </row>
    <row r="16">
      <c r="B16" s="2" t="inlineStr">
        <is>
          <t>Channel split today → expected</t>
        </is>
      </c>
      <c r="C16" s="12" t="inlineStr"/>
    </row>
    <row r="17">
      <c r="B17" s="2" t="inlineStr">
        <is>
          <t>Seasonality: does the client's own shape hold?</t>
        </is>
      </c>
      <c r="C17" s="12" t="inlineStr"/>
    </row>
    <row r="18">
      <c r="B18" s="2" t="inlineStr">
        <is>
          <t>What we deliberately did not model, and why</t>
        </is>
      </c>
      <c r="C18" s="12" t="inlineStr"/>
    </row>
  </sheetData>
  <dataValidations count="1">
    <dataValidation sqref="C4:C7"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6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44" customWidth="1" min="3" max="3"/>
    <col width="28" customWidth="1" min="4" max="4"/>
    <col width="28" customWidth="1" min="5" max="5"/>
    <col width="12" customWidth="1" min="6" max="6"/>
    <col width="15" customWidth="1" min="7" max="7"/>
    <col width="16" customWidth="1" min="8" max="8"/>
    <col width="10" customWidth="1" min="9" max="9"/>
    <col width="9" customWidth="1" min="10" max="10"/>
    <col width="9" customWidth="1" min="11" max="11"/>
    <col width="12" customWidth="1" min="12" max="12"/>
    <col width="12" customWidth="1" min="13" max="13"/>
    <col width="12" customWidth="1" min="14" max="14"/>
    <col width="40" customWidth="1" min="15" max="15"/>
    <col width="11" customWidth="1" min="16" max="16"/>
    <col width="11" customWidth="1" min="17" max="17"/>
    <col width="7" customWidth="1" min="18" max="18"/>
    <col width="7" customWidth="1" min="19" max="19"/>
    <col width="8" customWidth="1" min="20" max="20"/>
    <col width="10" customWidth="1" min="21" max="21"/>
    <col width="11" customWidth="1" min="22" max="22"/>
    <col width="11" customWidth="1" min="23" max="23"/>
    <col width="11" customWidth="1" min="24" max="24"/>
    <col width="11" customWidth="1" min="25" max="25"/>
    <col width="11" customWidth="1" min="26" max="26"/>
  </cols>
  <sheetData>
    <row r="1">
      <c r="A1" s="14" t="inlineStr">
        <is>
          <t>The grid — point of departure against point of arrival</t>
        </is>
      </c>
    </row>
    <row r="2">
      <c r="A2" s="16" t="inlineStr">
        <is>
          <t>Type in columns A–P. Gray columns are computed — do not type in them. A shaded row is mandatory for the declared archetype and still empty.</t>
        </is>
      </c>
    </row>
    <row r="3">
      <c r="A3" s="17" t="inlineStr">
        <is>
          <t>#</t>
        </is>
      </c>
      <c r="B3" s="17" t="inlineStr">
        <is>
          <t>Group</t>
        </is>
      </c>
      <c r="C3" s="17" t="inlineStr">
        <is>
          <t>Characteristic</t>
        </is>
      </c>
      <c r="D3" s="17" t="inlineStr">
        <is>
          <t>Point of departure</t>
        </is>
      </c>
      <c r="E3" s="17" t="inlineStr">
        <is>
          <t>Point of arrival</t>
        </is>
      </c>
      <c r="F3" s="17" t="inlineStr">
        <is>
          <t>Call</t>
        </is>
      </c>
      <c r="G3" s="17" t="inlineStr">
        <is>
          <t>Drives</t>
        </is>
      </c>
      <c r="H3" s="17" t="inlineStr">
        <is>
          <t>Phase</t>
        </is>
      </c>
      <c r="I3" s="17" t="inlineStr">
        <is>
          <t>FTE central</t>
        </is>
      </c>
      <c r="J3" s="17" t="inlineStr">
        <is>
          <t>FTE low</t>
        </is>
      </c>
      <c r="K3" s="17" t="inlineStr">
        <is>
          <t>FTE high</t>
        </is>
      </c>
      <c r="L3" s="17" t="inlineStr">
        <is>
          <t>Evidence</t>
        </is>
      </c>
      <c r="M3" s="17" t="inlineStr">
        <is>
          <t>Owner</t>
        </is>
      </c>
      <c r="N3" s="17" t="inlineStr">
        <is>
          <t>Date</t>
        </is>
      </c>
      <c r="O3" s="17" t="inlineStr">
        <is>
          <t>Notes</t>
        </is>
      </c>
      <c r="P3" s="17" t="inlineStr">
        <is>
          <t>Mandatory for</t>
        </is>
      </c>
      <c r="Q3" s="18" t="inlineStr">
        <is>
          <t>Mandatory?</t>
        </is>
      </c>
      <c r="R3" s="18" t="inlineStr">
        <is>
          <t>Gap</t>
        </is>
      </c>
      <c r="S3" s="18" t="inlineStr">
        <is>
          <t>Open</t>
        </is>
      </c>
      <c r="T3" s="18" t="inlineStr">
        <is>
          <t>Weight</t>
        </is>
      </c>
      <c r="U3" s="18" t="inlineStr">
        <is>
          <t>Rank score</t>
        </is>
      </c>
      <c r="V3" s="18" t="inlineStr">
        <is>
          <t>Bridge step</t>
        </is>
      </c>
      <c r="W3" s="18" t="inlineStr">
        <is>
          <t>Register key</t>
        </is>
      </c>
      <c r="X3" s="18" t="inlineStr">
        <is>
          <t>One-pager key</t>
        </is>
      </c>
      <c r="Y3" s="18" t="inlineStr">
        <is>
          <t>Unknown key</t>
        </is>
      </c>
      <c r="Z3" s="18" t="inlineStr">
        <is>
          <t>Problem key</t>
        </is>
      </c>
    </row>
    <row r="4">
      <c r="A4" s="11" t="n">
        <v>1</v>
      </c>
      <c r="B4" s="11" t="inlineStr">
        <is>
          <t>Setting the table</t>
        </is>
      </c>
      <c r="C4" s="12" t="inlineStr">
        <is>
          <t>Archetype, declared first (recorded on Set the table)</t>
        </is>
      </c>
      <c r="D4" s="12" t="n"/>
      <c r="E4" s="12" t="n"/>
      <c r="F4" s="11" t="n"/>
      <c r="G4" s="11" t="inlineStr">
        <is>
          <t>Several</t>
        </is>
      </c>
      <c r="H4" s="11" t="n"/>
      <c r="I4" s="11" t="n"/>
      <c r="J4" s="11" t="n"/>
      <c r="K4" s="11" t="n"/>
      <c r="L4" s="11" t="n"/>
      <c r="M4" s="11" t="n"/>
      <c r="N4" s="11" t="n"/>
      <c r="O4" s="12" t="n"/>
      <c r="P4" s="11" t="n"/>
      <c r="Q4" s="19">
        <f>IF(C4="","",IF(OR(AND('Set the table'!$C$4="Yes",ISNUMBER(SEARCH("A",P4))),AND('Set the table'!$C$5="Yes",ISNUMBER(SEARCH("B",P4))),AND('Set the table'!$C$6="Yes",ISNUMBER(SEARCH("C",P4))),AND('Set the table'!$C$7="Yes",ISNUMBER(SEARCH("D",P4)))),"Yes",""))</f>
        <v/>
      </c>
      <c r="R4" s="19">
        <f>IF(AND(Q4="Yes",OR(D4="",E4="",F4="")),"Gap","")</f>
        <v/>
      </c>
      <c r="S4" s="19">
        <f>IF(C4="","",IF(OR(F4="Watch",F4="Problem",F4="Unknown"),"Yes",""))</f>
        <v/>
      </c>
      <c r="T4" s="19">
        <f>IF(S4="","",IFERROR(VLOOKUP(L4,Lists!$F$2:$G$5,2,0),1))</f>
        <v/>
      </c>
      <c r="U4" s="19">
        <f>IF(AND(S4="Yes",ISNUMBER(J4),ISNUMBER(K4)),ABS(K4-J4)*T4,"")</f>
        <v/>
      </c>
      <c r="V4" s="19">
        <f>IF(AND(C4&lt;&gt;"",ISNUMBER(I4)),IFERROR(VLOOKUP(G4,Lists!$C$2:$D$12,2,0),"other"),"")</f>
        <v/>
      </c>
      <c r="W4" s="19">
        <f>IF(S4="Yes",IF(ISNUMBER(U4),U4,-1)-ROW()/100000,"")</f>
        <v/>
      </c>
      <c r="X4" s="19">
        <f>IF(AND(C4&lt;&gt;"",OR(F4="Problem",F4="Watch")),ROW()-3,"")</f>
        <v/>
      </c>
      <c r="Y4" s="19">
        <f>IF(AND(C4&lt;&gt;"",F4="Unknown"),ROW()-3,"")</f>
        <v/>
      </c>
      <c r="Z4" s="19">
        <f>IF(AND(C4&lt;&gt;"",F4="Problem"),ROW()-3,"")</f>
        <v/>
      </c>
    </row>
    <row r="5">
      <c r="A5" s="11" t="n">
        <v>2</v>
      </c>
      <c r="B5" s="11" t="inlineStr">
        <is>
          <t>Setting the table</t>
        </is>
      </c>
      <c r="C5" s="12" t="inlineStr">
        <is>
          <t>What moves: markets or countries, populations, phases and dates</t>
        </is>
      </c>
      <c r="D5" s="12" t="n"/>
      <c r="E5" s="12" t="n"/>
      <c r="F5" s="11" t="n"/>
      <c r="G5" s="11" t="inlineStr">
        <is>
          <t>Supply timing</t>
        </is>
      </c>
      <c r="H5" s="11" t="n"/>
      <c r="I5" s="11" t="n"/>
      <c r="J5" s="11" t="n"/>
      <c r="K5" s="11" t="n"/>
      <c r="L5" s="11" t="n"/>
      <c r="M5" s="11" t="n"/>
      <c r="N5" s="11" t="n"/>
      <c r="O5" s="12" t="n"/>
      <c r="P5" s="11" t="inlineStr">
        <is>
          <t>ABCD</t>
        </is>
      </c>
      <c r="Q5" s="19">
        <f>IF(C5="","",IF(OR(AND('Set the table'!$C$4="Yes",ISNUMBER(SEARCH("A",P5))),AND('Set the table'!$C$5="Yes",ISNUMBER(SEARCH("B",P5))),AND('Set the table'!$C$6="Yes",ISNUMBER(SEARCH("C",P5))),AND('Set the table'!$C$7="Yes",ISNUMBER(SEARCH("D",P5)))),"Yes",""))</f>
        <v/>
      </c>
      <c r="R5" s="19">
        <f>IF(AND(Q5="Yes",OR(D5="",E5="",F5="")),"Gap","")</f>
        <v/>
      </c>
      <c r="S5" s="19">
        <f>IF(C5="","",IF(OR(F5="Watch",F5="Problem",F5="Unknown"),"Yes",""))</f>
        <v/>
      </c>
      <c r="T5" s="19">
        <f>IF(S5="","",IFERROR(VLOOKUP(L5,Lists!$F$2:$G$5,2,0),1))</f>
        <v/>
      </c>
      <c r="U5" s="19">
        <f>IF(AND(S5="Yes",ISNUMBER(J5),ISNUMBER(K5)),ABS(K5-J5)*T5,"")</f>
        <v/>
      </c>
      <c r="V5" s="19">
        <f>IF(AND(C5&lt;&gt;"",ISNUMBER(I5)),IFERROR(VLOOKUP(G5,Lists!$C$2:$D$12,2,0),"other"),"")</f>
        <v/>
      </c>
      <c r="W5" s="19">
        <f>IF(S5="Yes",IF(ISNUMBER(U5),U5,-1)-ROW()/100000,"")</f>
        <v/>
      </c>
      <c r="X5" s="19">
        <f>IF(AND(C5&lt;&gt;"",OR(F5="Problem",F5="Watch")),ROW()-3,"")</f>
        <v/>
      </c>
      <c r="Y5" s="19">
        <f>IF(AND(C5&lt;&gt;"",F5="Unknown"),ROW()-3,"")</f>
        <v/>
      </c>
      <c r="Z5" s="19">
        <f>IF(AND(C5&lt;&gt;"",F5="Problem"),ROW()-3,"")</f>
        <v/>
      </c>
    </row>
    <row r="6">
      <c r="A6" s="11" t="n">
        <v>3</v>
      </c>
      <c r="B6" s="11" t="inlineStr">
        <is>
          <t>Setting the table</t>
        </is>
      </c>
      <c r="C6" s="12" t="inlineStr">
        <is>
          <t>Operating model: one pooled follow-the-sun team vs business-hours, in-country teams</t>
        </is>
      </c>
      <c r="D6" s="12" t="n"/>
      <c r="E6" s="12" t="n"/>
      <c r="F6" s="11" t="n"/>
      <c r="G6" s="11" t="inlineStr">
        <is>
          <t>Pooling</t>
        </is>
      </c>
      <c r="H6" s="11" t="n"/>
      <c r="I6" s="11" t="n"/>
      <c r="J6" s="11" t="n"/>
      <c r="K6" s="11" t="n"/>
      <c r="L6" s="11" t="n"/>
      <c r="M6" s="11" t="n"/>
      <c r="N6" s="11" t="n"/>
      <c r="O6" s="12" t="n"/>
      <c r="P6" s="11" t="n"/>
      <c r="Q6" s="19">
        <f>IF(C6="","",IF(OR(AND('Set the table'!$C$4="Yes",ISNUMBER(SEARCH("A",P6))),AND('Set the table'!$C$5="Yes",ISNUMBER(SEARCH("B",P6))),AND('Set the table'!$C$6="Yes",ISNUMBER(SEARCH("C",P6))),AND('Set the table'!$C$7="Yes",ISNUMBER(SEARCH("D",P6)))),"Yes",""))</f>
        <v/>
      </c>
      <c r="R6" s="19">
        <f>IF(AND(Q6="Yes",OR(D6="",E6="",F6="")),"Gap","")</f>
        <v/>
      </c>
      <c r="S6" s="19">
        <f>IF(C6="","",IF(OR(F6="Watch",F6="Problem",F6="Unknown"),"Yes",""))</f>
        <v/>
      </c>
      <c r="T6" s="19">
        <f>IF(S6="","",IFERROR(VLOOKUP(L6,Lists!$F$2:$G$5,2,0),1))</f>
        <v/>
      </c>
      <c r="U6" s="19">
        <f>IF(AND(S6="Yes",ISNUMBER(J6),ISNUMBER(K6)),ABS(K6-J6)*T6,"")</f>
        <v/>
      </c>
      <c r="V6" s="19">
        <f>IF(AND(C6&lt;&gt;"",ISNUMBER(I6)),IFERROR(VLOOKUP(G6,Lists!$C$2:$D$12,2,0),"other"),"")</f>
        <v/>
      </c>
      <c r="W6" s="19">
        <f>IF(S6="Yes",IF(ISNUMBER(U6),U6,-1)-ROW()/100000,"")</f>
        <v/>
      </c>
      <c r="X6" s="19">
        <f>IF(AND(C6&lt;&gt;"",OR(F6="Problem",F6="Watch")),ROW()-3,"")</f>
        <v/>
      </c>
      <c r="Y6" s="19">
        <f>IF(AND(C6&lt;&gt;"",F6="Unknown"),ROW()-3,"")</f>
        <v/>
      </c>
      <c r="Z6" s="19">
        <f>IF(AND(C6&lt;&gt;"",F6="Problem"),ROW()-3,"")</f>
        <v/>
      </c>
    </row>
    <row r="7">
      <c r="A7" s="11" t="n">
        <v>4</v>
      </c>
      <c r="B7" s="11" t="inlineStr">
        <is>
          <t>Setting the table</t>
        </is>
      </c>
      <c r="C7" s="12" t="inlineStr">
        <is>
          <t>Language model: English-only vs language-based</t>
        </is>
      </c>
      <c r="D7" s="12" t="n"/>
      <c r="E7" s="12" t="n"/>
      <c r="F7" s="11" t="n"/>
      <c r="G7" s="11" t="inlineStr">
        <is>
          <t>Pooling</t>
        </is>
      </c>
      <c r="H7" s="11" t="n"/>
      <c r="I7" s="11" t="n"/>
      <c r="J7" s="11" t="n"/>
      <c r="K7" s="11" t="n"/>
      <c r="L7" s="11" t="n"/>
      <c r="M7" s="11" t="n"/>
      <c r="N7" s="11" t="n"/>
      <c r="O7" s="12" t="n"/>
      <c r="P7" s="11" t="n"/>
      <c r="Q7" s="19">
        <f>IF(C7="","",IF(OR(AND('Set the table'!$C$4="Yes",ISNUMBER(SEARCH("A",P7))),AND('Set the table'!$C$5="Yes",ISNUMBER(SEARCH("B",P7))),AND('Set the table'!$C$6="Yes",ISNUMBER(SEARCH("C",P7))),AND('Set the table'!$C$7="Yes",ISNUMBER(SEARCH("D",P7)))),"Yes",""))</f>
        <v/>
      </c>
      <c r="R7" s="19">
        <f>IF(AND(Q7="Yes",OR(D7="",E7="",F7="")),"Gap","")</f>
        <v/>
      </c>
      <c r="S7" s="19">
        <f>IF(C7="","",IF(OR(F7="Watch",F7="Problem",F7="Unknown"),"Yes",""))</f>
        <v/>
      </c>
      <c r="T7" s="19">
        <f>IF(S7="","",IFERROR(VLOOKUP(L7,Lists!$F$2:$G$5,2,0),1))</f>
        <v/>
      </c>
      <c r="U7" s="19">
        <f>IF(AND(S7="Yes",ISNUMBER(J7),ISNUMBER(K7)),ABS(K7-J7)*T7,"")</f>
        <v/>
      </c>
      <c r="V7" s="19">
        <f>IF(AND(C7&lt;&gt;"",ISNUMBER(I7)),IFERROR(VLOOKUP(G7,Lists!$C$2:$D$12,2,0),"other"),"")</f>
        <v/>
      </c>
      <c r="W7" s="19">
        <f>IF(S7="Yes",IF(ISNUMBER(U7),U7,-1)-ROW()/100000,"")</f>
        <v/>
      </c>
      <c r="X7" s="19">
        <f>IF(AND(C7&lt;&gt;"",OR(F7="Problem",F7="Watch")),ROW()-3,"")</f>
        <v/>
      </c>
      <c r="Y7" s="19">
        <f>IF(AND(C7&lt;&gt;"",F7="Unknown"),ROW()-3,"")</f>
        <v/>
      </c>
      <c r="Z7" s="19">
        <f>IF(AND(C7&lt;&gt;"",F7="Problem"),ROW()-3,"")</f>
        <v/>
      </c>
    </row>
    <row r="8">
      <c r="A8" s="11" t="n">
        <v>5</v>
      </c>
      <c r="B8" s="11" t="inlineStr">
        <is>
          <t>Setting the table</t>
        </is>
      </c>
      <c r="C8" s="12" t="inlineStr">
        <is>
          <t>Servicing model: dedicated · designated · shared</t>
        </is>
      </c>
      <c r="D8" s="12" t="n"/>
      <c r="E8" s="12" t="n"/>
      <c r="F8" s="11" t="n"/>
      <c r="G8" s="11" t="inlineStr">
        <is>
          <t>Pooling</t>
        </is>
      </c>
      <c r="H8" s="11" t="n"/>
      <c r="I8" s="11" t="n"/>
      <c r="J8" s="11" t="n"/>
      <c r="K8" s="11" t="n"/>
      <c r="L8" s="11" t="n"/>
      <c r="M8" s="11" t="n"/>
      <c r="N8" s="11" t="n"/>
      <c r="O8" s="12" t="n"/>
      <c r="P8" s="11" t="n"/>
      <c r="Q8" s="19">
        <f>IF(C8="","",IF(OR(AND('Set the table'!$C$4="Yes",ISNUMBER(SEARCH("A",P8))),AND('Set the table'!$C$5="Yes",ISNUMBER(SEARCH("B",P8))),AND('Set the table'!$C$6="Yes",ISNUMBER(SEARCH("C",P8))),AND('Set the table'!$C$7="Yes",ISNUMBER(SEARCH("D",P8)))),"Yes",""))</f>
        <v/>
      </c>
      <c r="R8" s="19">
        <f>IF(AND(Q8="Yes",OR(D8="",E8="",F8="")),"Gap","")</f>
        <v/>
      </c>
      <c r="S8" s="19">
        <f>IF(C8="","",IF(OR(F8="Watch",F8="Problem",F8="Unknown"),"Yes",""))</f>
        <v/>
      </c>
      <c r="T8" s="19">
        <f>IF(S8="","",IFERROR(VLOOKUP(L8,Lists!$F$2:$G$5,2,0),1))</f>
        <v/>
      </c>
      <c r="U8" s="19">
        <f>IF(AND(S8="Yes",ISNUMBER(J8),ISNUMBER(K8)),ABS(K8-J8)*T8,"")</f>
        <v/>
      </c>
      <c r="V8" s="19">
        <f>IF(AND(C8&lt;&gt;"",ISNUMBER(I8)),IFERROR(VLOOKUP(G8,Lists!$C$2:$D$12,2,0),"other"),"")</f>
        <v/>
      </c>
      <c r="W8" s="19">
        <f>IF(S8="Yes",IF(ISNUMBER(U8),U8,-1)-ROW()/100000,"")</f>
        <v/>
      </c>
      <c r="X8" s="19">
        <f>IF(AND(C8&lt;&gt;"",OR(F8="Problem",F8="Watch")),ROW()-3,"")</f>
        <v/>
      </c>
      <c r="Y8" s="19">
        <f>IF(AND(C8&lt;&gt;"",F8="Unknown"),ROW()-3,"")</f>
        <v/>
      </c>
      <c r="Z8" s="19">
        <f>IF(AND(C8&lt;&gt;"",F8="Problem"),ROW()-3,"")</f>
        <v/>
      </c>
    </row>
    <row r="9">
      <c r="A9" s="11" t="n">
        <v>6</v>
      </c>
      <c r="B9" s="11" t="inlineStr">
        <is>
          <t>Setting the table</t>
        </is>
      </c>
      <c r="C9" s="12" t="inlineStr">
        <is>
          <t>Tools and platform: transaction tool, desktop, CRM, knowledge base</t>
        </is>
      </c>
      <c r="D9" s="12" t="n"/>
      <c r="E9" s="12" t="n"/>
      <c r="F9" s="11" t="n"/>
      <c r="G9" s="11" t="inlineStr">
        <is>
          <t>AHT</t>
        </is>
      </c>
      <c r="H9" s="11" t="n"/>
      <c r="I9" s="11" t="n"/>
      <c r="J9" s="11" t="n"/>
      <c r="K9" s="11" t="n"/>
      <c r="L9" s="11" t="n"/>
      <c r="M9" s="11" t="n"/>
      <c r="N9" s="11" t="n"/>
      <c r="O9" s="12" t="n"/>
      <c r="P9" s="11" t="n"/>
      <c r="Q9" s="19">
        <f>IF(C9="","",IF(OR(AND('Set the table'!$C$4="Yes",ISNUMBER(SEARCH("A",P9))),AND('Set the table'!$C$5="Yes",ISNUMBER(SEARCH("B",P9))),AND('Set the table'!$C$6="Yes",ISNUMBER(SEARCH("C",P9))),AND('Set the table'!$C$7="Yes",ISNUMBER(SEARCH("D",P9)))),"Yes",""))</f>
        <v/>
      </c>
      <c r="R9" s="19">
        <f>IF(AND(Q9="Yes",OR(D9="",E9="",F9="")),"Gap","")</f>
        <v/>
      </c>
      <c r="S9" s="19">
        <f>IF(C9="","",IF(OR(F9="Watch",F9="Problem",F9="Unknown"),"Yes",""))</f>
        <v/>
      </c>
      <c r="T9" s="19">
        <f>IF(S9="","",IFERROR(VLOOKUP(L9,Lists!$F$2:$G$5,2,0),1))</f>
        <v/>
      </c>
      <c r="U9" s="19">
        <f>IF(AND(S9="Yes",ISNUMBER(J9),ISNUMBER(K9)),ABS(K9-J9)*T9,"")</f>
        <v/>
      </c>
      <c r="V9" s="19">
        <f>IF(AND(C9&lt;&gt;"",ISNUMBER(I9)),IFERROR(VLOOKUP(G9,Lists!$C$2:$D$12,2,0),"other"),"")</f>
        <v/>
      </c>
      <c r="W9" s="19">
        <f>IF(S9="Yes",IF(ISNUMBER(U9),U9,-1)-ROW()/100000,"")</f>
        <v/>
      </c>
      <c r="X9" s="19">
        <f>IF(AND(C9&lt;&gt;"",OR(F9="Problem",F9="Watch")),ROW()-3,"")</f>
        <v/>
      </c>
      <c r="Y9" s="19">
        <f>IF(AND(C9&lt;&gt;"",F9="Unknown"),ROW()-3,"")</f>
        <v/>
      </c>
      <c r="Z9" s="19">
        <f>IF(AND(C9&lt;&gt;"",F9="Problem"),ROW()-3,"")</f>
        <v/>
      </c>
    </row>
    <row r="10">
      <c r="A10" s="11" t="n">
        <v>7</v>
      </c>
      <c r="B10" s="11" t="inlineStr">
        <is>
          <t>Demand</t>
        </is>
      </c>
      <c r="C10" s="12" t="inlineStr">
        <is>
          <t>Transaction volume, and its definition on both sides</t>
        </is>
      </c>
      <c r="D10" s="12" t="n"/>
      <c r="E10" s="12" t="n"/>
      <c r="F10" s="11" t="n"/>
      <c r="G10" s="11" t="inlineStr">
        <is>
          <t>CPT / volume</t>
        </is>
      </c>
      <c r="H10" s="11" t="n"/>
      <c r="I10" s="11" t="n"/>
      <c r="J10" s="11" t="n"/>
      <c r="K10" s="11" t="n"/>
      <c r="L10" s="11" t="n"/>
      <c r="M10" s="11" t="n"/>
      <c r="N10" s="11" t="n"/>
      <c r="O10" s="12" t="n"/>
      <c r="P10" s="11" t="inlineStr">
        <is>
          <t>ABCD</t>
        </is>
      </c>
      <c r="Q10" s="19">
        <f>IF(C10="","",IF(OR(AND('Set the table'!$C$4="Yes",ISNUMBER(SEARCH("A",P10))),AND('Set the table'!$C$5="Yes",ISNUMBER(SEARCH("B",P10))),AND('Set the table'!$C$6="Yes",ISNUMBER(SEARCH("C",P10))),AND('Set the table'!$C$7="Yes",ISNUMBER(SEARCH("D",P10)))),"Yes",""))</f>
        <v/>
      </c>
      <c r="R10" s="19">
        <f>IF(AND(Q10="Yes",OR(D10="",E10="",F10="")),"Gap","")</f>
        <v/>
      </c>
      <c r="S10" s="19">
        <f>IF(C10="","",IF(OR(F10="Watch",F10="Problem",F10="Unknown"),"Yes",""))</f>
        <v/>
      </c>
      <c r="T10" s="19">
        <f>IF(S10="","",IFERROR(VLOOKUP(L10,Lists!$F$2:$G$5,2,0),1))</f>
        <v/>
      </c>
      <c r="U10" s="19">
        <f>IF(AND(S10="Yes",ISNUMBER(J10),ISNUMBER(K10)),ABS(K10-J10)*T10,"")</f>
        <v/>
      </c>
      <c r="V10" s="19">
        <f>IF(AND(C10&lt;&gt;"",ISNUMBER(I10)),IFERROR(VLOOKUP(G10,Lists!$C$2:$D$12,2,0),"other"),"")</f>
        <v/>
      </c>
      <c r="W10" s="19">
        <f>IF(S10="Yes",IF(ISNUMBER(U10),U10,-1)-ROW()/100000,"")</f>
        <v/>
      </c>
      <c r="X10" s="19">
        <f>IF(AND(C10&lt;&gt;"",OR(F10="Problem",F10="Watch")),ROW()-3,"")</f>
        <v/>
      </c>
      <c r="Y10" s="19">
        <f>IF(AND(C10&lt;&gt;"",F10="Unknown"),ROW()-3,"")</f>
        <v/>
      </c>
      <c r="Z10" s="19">
        <f>IF(AND(C10&lt;&gt;"",F10="Problem"),ROW()-3,"")</f>
        <v/>
      </c>
    </row>
    <row r="11">
      <c r="A11" s="11" t="n">
        <v>8</v>
      </c>
      <c r="B11" s="11" t="inlineStr">
        <is>
          <t>Demand</t>
        </is>
      </c>
      <c r="C11" s="12" t="inlineStr">
        <is>
          <t>Contacts per transaction by country, from the client's own pre-migration months</t>
        </is>
      </c>
      <c r="D11" s="12" t="n"/>
      <c r="E11" s="12" t="n"/>
      <c r="F11" s="11" t="n"/>
      <c r="G11" s="11" t="inlineStr">
        <is>
          <t>CPT / volume</t>
        </is>
      </c>
      <c r="H11" s="11" t="n"/>
      <c r="I11" s="11" t="n"/>
      <c r="J11" s="11" t="n"/>
      <c r="K11" s="11" t="n"/>
      <c r="L11" s="11" t="n"/>
      <c r="M11" s="11" t="n"/>
      <c r="N11" s="11" t="n"/>
      <c r="O11" s="12" t="n"/>
      <c r="P11" s="11" t="inlineStr">
        <is>
          <t>ABCD</t>
        </is>
      </c>
      <c r="Q11" s="19">
        <f>IF(C11="","",IF(OR(AND('Set the table'!$C$4="Yes",ISNUMBER(SEARCH("A",P11))),AND('Set the table'!$C$5="Yes",ISNUMBER(SEARCH("B",P11))),AND('Set the table'!$C$6="Yes",ISNUMBER(SEARCH("C",P11))),AND('Set the table'!$C$7="Yes",ISNUMBER(SEARCH("D",P11)))),"Yes",""))</f>
        <v/>
      </c>
      <c r="R11" s="19">
        <f>IF(AND(Q11="Yes",OR(D11="",E11="",F11="")),"Gap","")</f>
        <v/>
      </c>
      <c r="S11" s="19">
        <f>IF(C11="","",IF(OR(F11="Watch",F11="Problem",F11="Unknown"),"Yes",""))</f>
        <v/>
      </c>
      <c r="T11" s="19">
        <f>IF(S11="","",IFERROR(VLOOKUP(L11,Lists!$F$2:$G$5,2,0),1))</f>
        <v/>
      </c>
      <c r="U11" s="19">
        <f>IF(AND(S11="Yes",ISNUMBER(J11),ISNUMBER(K11)),ABS(K11-J11)*T11,"")</f>
        <v/>
      </c>
      <c r="V11" s="19">
        <f>IF(AND(C11&lt;&gt;"",ISNUMBER(I11)),IFERROR(VLOOKUP(G11,Lists!$C$2:$D$12,2,0),"other"),"")</f>
        <v/>
      </c>
      <c r="W11" s="19">
        <f>IF(S11="Yes",IF(ISNUMBER(U11),U11,-1)-ROW()/100000,"")</f>
        <v/>
      </c>
      <c r="X11" s="19">
        <f>IF(AND(C11&lt;&gt;"",OR(F11="Problem",F11="Watch")),ROW()-3,"")</f>
        <v/>
      </c>
      <c r="Y11" s="19">
        <f>IF(AND(C11&lt;&gt;"",F11="Unknown"),ROW()-3,"")</f>
        <v/>
      </c>
      <c r="Z11" s="19">
        <f>IF(AND(C11&lt;&gt;"",F11="Problem"),ROW()-3,"")</f>
        <v/>
      </c>
    </row>
    <row r="12">
      <c r="A12" s="11" t="n">
        <v>9</v>
      </c>
      <c r="B12" s="11" t="inlineStr">
        <is>
          <t>Demand</t>
        </is>
      </c>
      <c r="C12" s="12" t="inlineStr">
        <is>
          <t>Seasonality and the weekly and daily profile</t>
        </is>
      </c>
      <c r="D12" s="12" t="n"/>
      <c r="E12" s="12" t="n"/>
      <c r="F12" s="11" t="n"/>
      <c r="G12" s="11" t="inlineStr">
        <is>
          <t>Volume shape</t>
        </is>
      </c>
      <c r="H12" s="11" t="n"/>
      <c r="I12" s="11" t="n"/>
      <c r="J12" s="11" t="n"/>
      <c r="K12" s="11" t="n"/>
      <c r="L12" s="11" t="n"/>
      <c r="M12" s="11" t="n"/>
      <c r="N12" s="11" t="n"/>
      <c r="O12" s="12" t="n"/>
      <c r="P12" s="11" t="inlineStr">
        <is>
          <t>ABCD</t>
        </is>
      </c>
      <c r="Q12" s="19">
        <f>IF(C12="","",IF(OR(AND('Set the table'!$C$4="Yes",ISNUMBER(SEARCH("A",P12))),AND('Set the table'!$C$5="Yes",ISNUMBER(SEARCH("B",P12))),AND('Set the table'!$C$6="Yes",ISNUMBER(SEARCH("C",P12))),AND('Set the table'!$C$7="Yes",ISNUMBER(SEARCH("D",P12)))),"Yes",""))</f>
        <v/>
      </c>
      <c r="R12" s="19">
        <f>IF(AND(Q12="Yes",OR(D12="",E12="",F12="")),"Gap","")</f>
        <v/>
      </c>
      <c r="S12" s="19">
        <f>IF(C12="","",IF(OR(F12="Watch",F12="Problem",F12="Unknown"),"Yes",""))</f>
        <v/>
      </c>
      <c r="T12" s="19">
        <f>IF(S12="","",IFERROR(VLOOKUP(L12,Lists!$F$2:$G$5,2,0),1))</f>
        <v/>
      </c>
      <c r="U12" s="19">
        <f>IF(AND(S12="Yes",ISNUMBER(J12),ISNUMBER(K12)),ABS(K12-J12)*T12,"")</f>
        <v/>
      </c>
      <c r="V12" s="19">
        <f>IF(AND(C12&lt;&gt;"",ISNUMBER(I12)),IFERROR(VLOOKUP(G12,Lists!$C$2:$D$12,2,0),"other"),"")</f>
        <v/>
      </c>
      <c r="W12" s="19">
        <f>IF(S12="Yes",IF(ISNUMBER(U12),U12,-1)-ROW()/100000,"")</f>
        <v/>
      </c>
      <c r="X12" s="19">
        <f>IF(AND(C12&lt;&gt;"",OR(F12="Problem",F12="Watch")),ROW()-3,"")</f>
        <v/>
      </c>
      <c r="Y12" s="19">
        <f>IF(AND(C12&lt;&gt;"",F12="Unknown"),ROW()-3,"")</f>
        <v/>
      </c>
      <c r="Z12" s="19">
        <f>IF(AND(C12&lt;&gt;"",F12="Problem"),ROW()-3,"")</f>
        <v/>
      </c>
    </row>
    <row r="13">
      <c r="A13" s="11" t="n">
        <v>10</v>
      </c>
      <c r="B13" s="11" t="inlineStr">
        <is>
          <t>Demand</t>
        </is>
      </c>
      <c r="C13" s="12" t="inlineStr">
        <is>
          <t>Adoption ramp: share of users moved per phase</t>
        </is>
      </c>
      <c r="D13" s="12" t="n"/>
      <c r="E13" s="12" t="n"/>
      <c r="F13" s="11" t="n"/>
      <c r="G13" s="11" t="inlineStr">
        <is>
          <t>CPT / volume</t>
        </is>
      </c>
      <c r="H13" s="11" t="n"/>
      <c r="I13" s="11" t="n"/>
      <c r="J13" s="11" t="n"/>
      <c r="K13" s="11" t="n"/>
      <c r="L13" s="11" t="n"/>
      <c r="M13" s="11" t="n"/>
      <c r="N13" s="11" t="n"/>
      <c r="O13" s="12" t="n"/>
      <c r="P13" s="11" t="n"/>
      <c r="Q13" s="19">
        <f>IF(C13="","",IF(OR(AND('Set the table'!$C$4="Yes",ISNUMBER(SEARCH("A",P13))),AND('Set the table'!$C$5="Yes",ISNUMBER(SEARCH("B",P13))),AND('Set the table'!$C$6="Yes",ISNUMBER(SEARCH("C",P13))),AND('Set the table'!$C$7="Yes",ISNUMBER(SEARCH("D",P13)))),"Yes",""))</f>
        <v/>
      </c>
      <c r="R13" s="19">
        <f>IF(AND(Q13="Yes",OR(D13="",E13="",F13="")),"Gap","")</f>
        <v/>
      </c>
      <c r="S13" s="19">
        <f>IF(C13="","",IF(OR(F13="Watch",F13="Problem",F13="Unknown"),"Yes",""))</f>
        <v/>
      </c>
      <c r="T13" s="19">
        <f>IF(S13="","",IFERROR(VLOOKUP(L13,Lists!$F$2:$G$5,2,0),1))</f>
        <v/>
      </c>
      <c r="U13" s="19">
        <f>IF(AND(S13="Yes",ISNUMBER(J13),ISNUMBER(K13)),ABS(K13-J13)*T13,"")</f>
        <v/>
      </c>
      <c r="V13" s="19">
        <f>IF(AND(C13&lt;&gt;"",ISNUMBER(I13)),IFERROR(VLOOKUP(G13,Lists!$C$2:$D$12,2,0),"other"),"")</f>
        <v/>
      </c>
      <c r="W13" s="19">
        <f>IF(S13="Yes",IF(ISNUMBER(U13),U13,-1)-ROW()/100000,"")</f>
        <v/>
      </c>
      <c r="X13" s="19">
        <f>IF(AND(C13&lt;&gt;"",OR(F13="Problem",F13="Watch")),ROW()-3,"")</f>
        <v/>
      </c>
      <c r="Y13" s="19">
        <f>IF(AND(C13&lt;&gt;"",F13="Unknown"),ROW()-3,"")</f>
        <v/>
      </c>
      <c r="Z13" s="19">
        <f>IF(AND(C13&lt;&gt;"",F13="Problem"),ROW()-3,"")</f>
        <v/>
      </c>
    </row>
    <row r="14">
      <c r="A14" s="11" t="n">
        <v>11</v>
      </c>
      <c r="B14" s="11" t="inlineStr">
        <is>
          <t>Demand</t>
        </is>
      </c>
      <c r="C14" s="12" t="inlineStr">
        <is>
          <t>Self-service and deflection (online adoption, bot)</t>
        </is>
      </c>
      <c r="D14" s="12" t="n"/>
      <c r="E14" s="12" t="n"/>
      <c r="F14" s="11" t="n"/>
      <c r="G14" s="11" t="inlineStr">
        <is>
          <t>CPT / volume</t>
        </is>
      </c>
      <c r="H14" s="11" t="n"/>
      <c r="I14" s="11" t="n"/>
      <c r="J14" s="11" t="n"/>
      <c r="K14" s="11" t="n"/>
      <c r="L14" s="11" t="n"/>
      <c r="M14" s="11" t="n"/>
      <c r="N14" s="11" t="n"/>
      <c r="O14" s="12" t="n"/>
      <c r="P14" s="11" t="n"/>
      <c r="Q14" s="19">
        <f>IF(C14="","",IF(OR(AND('Set the table'!$C$4="Yes",ISNUMBER(SEARCH("A",P14))),AND('Set the table'!$C$5="Yes",ISNUMBER(SEARCH("B",P14))),AND('Set the table'!$C$6="Yes",ISNUMBER(SEARCH("C",P14))),AND('Set the table'!$C$7="Yes",ISNUMBER(SEARCH("D",P14)))),"Yes",""))</f>
        <v/>
      </c>
      <c r="R14" s="19">
        <f>IF(AND(Q14="Yes",OR(D14="",E14="",F14="")),"Gap","")</f>
        <v/>
      </c>
      <c r="S14" s="19">
        <f>IF(C14="","",IF(OR(F14="Watch",F14="Problem",F14="Unknown"),"Yes",""))</f>
        <v/>
      </c>
      <c r="T14" s="19">
        <f>IF(S14="","",IFERROR(VLOOKUP(L14,Lists!$F$2:$G$5,2,0),1))</f>
        <v/>
      </c>
      <c r="U14" s="19">
        <f>IF(AND(S14="Yes",ISNUMBER(J14),ISNUMBER(K14)),ABS(K14-J14)*T14,"")</f>
        <v/>
      </c>
      <c r="V14" s="19">
        <f>IF(AND(C14&lt;&gt;"",ISNUMBER(I14)),IFERROR(VLOOKUP(G14,Lists!$C$2:$D$12,2,0),"other"),"")</f>
        <v/>
      </c>
      <c r="W14" s="19">
        <f>IF(S14="Yes",IF(ISNUMBER(U14),U14,-1)-ROW()/100000,"")</f>
        <v/>
      </c>
      <c r="X14" s="19">
        <f>IF(AND(C14&lt;&gt;"",OR(F14="Problem",F14="Watch")),ROW()-3,"")</f>
        <v/>
      </c>
      <c r="Y14" s="19">
        <f>IF(AND(C14&lt;&gt;"",F14="Unknown"),ROW()-3,"")</f>
        <v/>
      </c>
      <c r="Z14" s="19">
        <f>IF(AND(C14&lt;&gt;"",F14="Problem"),ROW()-3,"")</f>
        <v/>
      </c>
    </row>
    <row r="15">
      <c r="A15" s="11" t="n">
        <v>12</v>
      </c>
      <c r="B15" s="11" t="inlineStr">
        <is>
          <t>Demand</t>
        </is>
      </c>
      <c r="C15" s="12" t="inlineStr">
        <is>
          <t>Contact conversion: deferred email turning into voice or chat; re-contacts</t>
        </is>
      </c>
      <c r="D15" s="12" t="n"/>
      <c r="E15" s="12" t="n"/>
      <c r="F15" s="11" t="n"/>
      <c r="G15" s="11" t="inlineStr">
        <is>
          <t>CPT / volume</t>
        </is>
      </c>
      <c r="H15" s="11" t="n"/>
      <c r="I15" s="11" t="n"/>
      <c r="J15" s="11" t="n"/>
      <c r="K15" s="11" t="n"/>
      <c r="L15" s="11" t="n"/>
      <c r="M15" s="11" t="n"/>
      <c r="N15" s="11" t="n"/>
      <c r="O15" s="12" t="n"/>
      <c r="P15" s="11" t="n"/>
      <c r="Q15" s="19">
        <f>IF(C15="","",IF(OR(AND('Set the table'!$C$4="Yes",ISNUMBER(SEARCH("A",P15))),AND('Set the table'!$C$5="Yes",ISNUMBER(SEARCH("B",P15))),AND('Set the table'!$C$6="Yes",ISNUMBER(SEARCH("C",P15))),AND('Set the table'!$C$7="Yes",ISNUMBER(SEARCH("D",P15)))),"Yes",""))</f>
        <v/>
      </c>
      <c r="R15" s="19">
        <f>IF(AND(Q15="Yes",OR(D15="",E15="",F15="")),"Gap","")</f>
        <v/>
      </c>
      <c r="S15" s="19">
        <f>IF(C15="","",IF(OR(F15="Watch",F15="Problem",F15="Unknown"),"Yes",""))</f>
        <v/>
      </c>
      <c r="T15" s="19">
        <f>IF(S15="","",IFERROR(VLOOKUP(L15,Lists!$F$2:$G$5,2,0),1))</f>
        <v/>
      </c>
      <c r="U15" s="19">
        <f>IF(AND(S15="Yes",ISNUMBER(J15),ISNUMBER(K15)),ABS(K15-J15)*T15,"")</f>
        <v/>
      </c>
      <c r="V15" s="19">
        <f>IF(AND(C15&lt;&gt;"",ISNUMBER(I15)),IFERROR(VLOOKUP(G15,Lists!$C$2:$D$12,2,0),"other"),"")</f>
        <v/>
      </c>
      <c r="W15" s="19">
        <f>IF(S15="Yes",IF(ISNUMBER(U15),U15,-1)-ROW()/100000,"")</f>
        <v/>
      </c>
      <c r="X15" s="19">
        <f>IF(AND(C15&lt;&gt;"",OR(F15="Problem",F15="Watch")),ROW()-3,"")</f>
        <v/>
      </c>
      <c r="Y15" s="19">
        <f>IF(AND(C15&lt;&gt;"",F15="Unknown"),ROW()-3,"")</f>
        <v/>
      </c>
      <c r="Z15" s="19">
        <f>IF(AND(C15&lt;&gt;"",F15="Problem"),ROW()-3,"")</f>
        <v/>
      </c>
    </row>
    <row r="16">
      <c r="A16" s="11" t="n">
        <v>13</v>
      </c>
      <c r="B16" s="11" t="inlineStr">
        <is>
          <t>Chat</t>
        </is>
      </c>
      <c r="C16" s="12" t="inlineStr">
        <is>
          <t>Channel usage share</t>
        </is>
      </c>
      <c r="D16" s="12" t="n"/>
      <c r="E16" s="12" t="n"/>
      <c r="F16" s="11" t="n"/>
      <c r="G16" s="11" t="inlineStr">
        <is>
          <t>CPT / volume</t>
        </is>
      </c>
      <c r="H16" s="11" t="n"/>
      <c r="I16" s="11" t="n"/>
      <c r="J16" s="11" t="n"/>
      <c r="K16" s="11" t="n"/>
      <c r="L16" s="11" t="n"/>
      <c r="M16" s="11" t="n"/>
      <c r="N16" s="11" t="n"/>
      <c r="O16" s="12" t="n"/>
      <c r="P16" s="11" t="inlineStr">
        <is>
          <t>ABC</t>
        </is>
      </c>
      <c r="Q16" s="19">
        <f>IF(C16="","",IF(OR(AND('Set the table'!$C$4="Yes",ISNUMBER(SEARCH("A",P16))),AND('Set the table'!$C$5="Yes",ISNUMBER(SEARCH("B",P16))),AND('Set the table'!$C$6="Yes",ISNUMBER(SEARCH("C",P16))),AND('Set the table'!$C$7="Yes",ISNUMBER(SEARCH("D",P16)))),"Yes",""))</f>
        <v/>
      </c>
      <c r="R16" s="19">
        <f>IF(AND(Q16="Yes",OR(D16="",E16="",F16="")),"Gap","")</f>
        <v/>
      </c>
      <c r="S16" s="19">
        <f>IF(C16="","",IF(OR(F16="Watch",F16="Problem",F16="Unknown"),"Yes",""))</f>
        <v/>
      </c>
      <c r="T16" s="19">
        <f>IF(S16="","",IFERROR(VLOOKUP(L16,Lists!$F$2:$G$5,2,0),1))</f>
        <v/>
      </c>
      <c r="U16" s="19">
        <f>IF(AND(S16="Yes",ISNUMBER(J16),ISNUMBER(K16)),ABS(K16-J16)*T16,"")</f>
        <v/>
      </c>
      <c r="V16" s="19">
        <f>IF(AND(C16&lt;&gt;"",ISNUMBER(I16)),IFERROR(VLOOKUP(G16,Lists!$C$2:$D$12,2,0),"other"),"")</f>
        <v/>
      </c>
      <c r="W16" s="19">
        <f>IF(S16="Yes",IF(ISNUMBER(U16),U16,-1)-ROW()/100000,"")</f>
        <v/>
      </c>
      <c r="X16" s="19">
        <f>IF(AND(C16&lt;&gt;"",OR(F16="Problem",F16="Watch")),ROW()-3,"")</f>
        <v/>
      </c>
      <c r="Y16" s="19">
        <f>IF(AND(C16&lt;&gt;"",F16="Unknown"),ROW()-3,"")</f>
        <v/>
      </c>
      <c r="Z16" s="19">
        <f>IF(AND(C16&lt;&gt;"",F16="Problem"),ROW()-3,"")</f>
        <v/>
      </c>
    </row>
    <row r="17">
      <c r="A17" s="11" t="n">
        <v>14</v>
      </c>
      <c r="B17" s="11" t="inlineStr">
        <is>
          <t>Chat</t>
        </is>
      </c>
      <c r="C17" s="12" t="inlineStr">
        <is>
          <t>How chat behaves: synchronous or asynchronous</t>
        </is>
      </c>
      <c r="D17" s="12" t="n"/>
      <c r="E17" s="12" t="n"/>
      <c r="F17" s="11" t="n"/>
      <c r="G17" s="11" t="inlineStr">
        <is>
          <t>AHT</t>
        </is>
      </c>
      <c r="H17" s="11" t="n"/>
      <c r="I17" s="11" t="n"/>
      <c r="J17" s="11" t="n"/>
      <c r="K17" s="11" t="n"/>
      <c r="L17" s="11" t="n"/>
      <c r="M17" s="11" t="n"/>
      <c r="N17" s="11" t="n"/>
      <c r="O17" s="12" t="n"/>
      <c r="P17" s="11" t="inlineStr">
        <is>
          <t>C</t>
        </is>
      </c>
      <c r="Q17" s="19">
        <f>IF(C17="","",IF(OR(AND('Set the table'!$C$4="Yes",ISNUMBER(SEARCH("A",P17))),AND('Set the table'!$C$5="Yes",ISNUMBER(SEARCH("B",P17))),AND('Set the table'!$C$6="Yes",ISNUMBER(SEARCH("C",P17))),AND('Set the table'!$C$7="Yes",ISNUMBER(SEARCH("D",P17)))),"Yes",""))</f>
        <v/>
      </c>
      <c r="R17" s="19">
        <f>IF(AND(Q17="Yes",OR(D17="",E17="",F17="")),"Gap","")</f>
        <v/>
      </c>
      <c r="S17" s="19">
        <f>IF(C17="","",IF(OR(F17="Watch",F17="Problem",F17="Unknown"),"Yes",""))</f>
        <v/>
      </c>
      <c r="T17" s="19">
        <f>IF(S17="","",IFERROR(VLOOKUP(L17,Lists!$F$2:$G$5,2,0),1))</f>
        <v/>
      </c>
      <c r="U17" s="19">
        <f>IF(AND(S17="Yes",ISNUMBER(J17),ISNUMBER(K17)),ABS(K17-J17)*T17,"")</f>
        <v/>
      </c>
      <c r="V17" s="19">
        <f>IF(AND(C17&lt;&gt;"",ISNUMBER(I17)),IFERROR(VLOOKUP(G17,Lists!$C$2:$D$12,2,0),"other"),"")</f>
        <v/>
      </c>
      <c r="W17" s="19">
        <f>IF(S17="Yes",IF(ISNUMBER(U17),U17,-1)-ROW()/100000,"")</f>
        <v/>
      </c>
      <c r="X17" s="19">
        <f>IF(AND(C17&lt;&gt;"",OR(F17="Problem",F17="Watch")),ROW()-3,"")</f>
        <v/>
      </c>
      <c r="Y17" s="19">
        <f>IF(AND(C17&lt;&gt;"",F17="Unknown"),ROW()-3,"")</f>
        <v/>
      </c>
      <c r="Z17" s="19">
        <f>IF(AND(C17&lt;&gt;"",F17="Problem"),ROW()-3,"")</f>
        <v/>
      </c>
    </row>
    <row r="18">
      <c r="A18" s="11" t="n">
        <v>15</v>
      </c>
      <c r="B18" s="11" t="inlineStr">
        <is>
          <t>Chat</t>
        </is>
      </c>
      <c r="C18" s="12" t="inlineStr">
        <is>
          <t>Timeout and abandonment behavior</t>
        </is>
      </c>
      <c r="D18" s="12" t="n"/>
      <c r="E18" s="12" t="n"/>
      <c r="F18" s="11" t="n"/>
      <c r="G18" s="11" t="inlineStr">
        <is>
          <t>Abandonment</t>
        </is>
      </c>
      <c r="H18" s="11" t="n"/>
      <c r="I18" s="11" t="n"/>
      <c r="J18" s="11" t="n"/>
      <c r="K18" s="11" t="n"/>
      <c r="L18" s="11" t="n"/>
      <c r="M18" s="11" t="n"/>
      <c r="N18" s="11" t="n"/>
      <c r="O18" s="12" t="n"/>
      <c r="P18" s="11" t="inlineStr">
        <is>
          <t>C</t>
        </is>
      </c>
      <c r="Q18" s="19">
        <f>IF(C18="","",IF(OR(AND('Set the table'!$C$4="Yes",ISNUMBER(SEARCH("A",P18))),AND('Set the table'!$C$5="Yes",ISNUMBER(SEARCH("B",P18))),AND('Set the table'!$C$6="Yes",ISNUMBER(SEARCH("C",P18))),AND('Set the table'!$C$7="Yes",ISNUMBER(SEARCH("D",P18)))),"Yes",""))</f>
        <v/>
      </c>
      <c r="R18" s="19">
        <f>IF(AND(Q18="Yes",OR(D18="",E18="",F18="")),"Gap","")</f>
        <v/>
      </c>
      <c r="S18" s="19">
        <f>IF(C18="","",IF(OR(F18="Watch",F18="Problem",F18="Unknown"),"Yes",""))</f>
        <v/>
      </c>
      <c r="T18" s="19">
        <f>IF(S18="","",IFERROR(VLOOKUP(L18,Lists!$F$2:$G$5,2,0),1))</f>
        <v/>
      </c>
      <c r="U18" s="19">
        <f>IF(AND(S18="Yes",ISNUMBER(J18),ISNUMBER(K18)),ABS(K18-J18)*T18,"")</f>
        <v/>
      </c>
      <c r="V18" s="19">
        <f>IF(AND(C18&lt;&gt;"",ISNUMBER(I18)),IFERROR(VLOOKUP(G18,Lists!$C$2:$D$12,2,0),"other"),"")</f>
        <v/>
      </c>
      <c r="W18" s="19">
        <f>IF(S18="Yes",IF(ISNUMBER(U18),U18,-1)-ROW()/100000,"")</f>
        <v/>
      </c>
      <c r="X18" s="19">
        <f>IF(AND(C18&lt;&gt;"",OR(F18="Problem",F18="Watch")),ROW()-3,"")</f>
        <v/>
      </c>
      <c r="Y18" s="19">
        <f>IF(AND(C18&lt;&gt;"",F18="Unknown"),ROW()-3,"")</f>
        <v/>
      </c>
      <c r="Z18" s="19">
        <f>IF(AND(C18&lt;&gt;"",F18="Problem"),ROW()-3,"")</f>
        <v/>
      </c>
    </row>
    <row r="19">
      <c r="A19" s="11" t="n">
        <v>16</v>
      </c>
      <c r="B19" s="11" t="inlineStr">
        <is>
          <t>Chat</t>
        </is>
      </c>
      <c r="C19" s="12" t="inlineStr">
        <is>
          <t>Concurrency modeled vs achieved</t>
        </is>
      </c>
      <c r="D19" s="12" t="n"/>
      <c r="E19" s="12" t="n"/>
      <c r="F19" s="11" t="n"/>
      <c r="G19" s="11" t="inlineStr">
        <is>
          <t>Concurrency</t>
        </is>
      </c>
      <c r="H19" s="11" t="n"/>
      <c r="I19" s="11" t="n"/>
      <c r="J19" s="11" t="n"/>
      <c r="K19" s="11" t="n"/>
      <c r="L19" s="11" t="n"/>
      <c r="M19" s="11" t="n"/>
      <c r="N19" s="11" t="n"/>
      <c r="O19" s="12" t="n"/>
      <c r="P19" s="11" t="n"/>
      <c r="Q19" s="19">
        <f>IF(C19="","",IF(OR(AND('Set the table'!$C$4="Yes",ISNUMBER(SEARCH("A",P19))),AND('Set the table'!$C$5="Yes",ISNUMBER(SEARCH("B",P19))),AND('Set the table'!$C$6="Yes",ISNUMBER(SEARCH("C",P19))),AND('Set the table'!$C$7="Yes",ISNUMBER(SEARCH("D",P19)))),"Yes",""))</f>
        <v/>
      </c>
      <c r="R19" s="19">
        <f>IF(AND(Q19="Yes",OR(D19="",E19="",F19="")),"Gap","")</f>
        <v/>
      </c>
      <c r="S19" s="19">
        <f>IF(C19="","",IF(OR(F19="Watch",F19="Problem",F19="Unknown"),"Yes",""))</f>
        <v/>
      </c>
      <c r="T19" s="19">
        <f>IF(S19="","",IFERROR(VLOOKUP(L19,Lists!$F$2:$G$5,2,0),1))</f>
        <v/>
      </c>
      <c r="U19" s="19">
        <f>IF(AND(S19="Yes",ISNUMBER(J19),ISNUMBER(K19)),ABS(K19-J19)*T19,"")</f>
        <v/>
      </c>
      <c r="V19" s="19">
        <f>IF(AND(C19&lt;&gt;"",ISNUMBER(I19)),IFERROR(VLOOKUP(G19,Lists!$C$2:$D$12,2,0),"other"),"")</f>
        <v/>
      </c>
      <c r="W19" s="19">
        <f>IF(S19="Yes",IF(ISNUMBER(U19),U19,-1)-ROW()/100000,"")</f>
        <v/>
      </c>
      <c r="X19" s="19">
        <f>IF(AND(C19&lt;&gt;"",OR(F19="Problem",F19="Watch")),ROW()-3,"")</f>
        <v/>
      </c>
      <c r="Y19" s="19">
        <f>IF(AND(C19&lt;&gt;"",F19="Unknown"),ROW()-3,"")</f>
        <v/>
      </c>
      <c r="Z19" s="19">
        <f>IF(AND(C19&lt;&gt;"",F19="Problem"),ROW()-3,"")</f>
        <v/>
      </c>
    </row>
    <row r="20">
      <c r="A20" s="11" t="n">
        <v>17</v>
      </c>
      <c r="B20" s="11" t="inlineStr">
        <is>
          <t>Chat</t>
        </is>
      </c>
      <c r="C20" s="12" t="inlineStr">
        <is>
          <t>Languages supported</t>
        </is>
      </c>
      <c r="D20" s="12" t="n"/>
      <c r="E20" s="12" t="n"/>
      <c r="F20" s="11" t="n"/>
      <c r="G20" s="11" t="inlineStr">
        <is>
          <t>Pooling</t>
        </is>
      </c>
      <c r="H20" s="11" t="n"/>
      <c r="I20" s="11" t="n"/>
      <c r="J20" s="11" t="n"/>
      <c r="K20" s="11" t="n"/>
      <c r="L20" s="11" t="n"/>
      <c r="M20" s="11" t="n"/>
      <c r="N20" s="11" t="n"/>
      <c r="O20" s="12" t="n"/>
      <c r="P20" s="11" t="n"/>
      <c r="Q20" s="19">
        <f>IF(C20="","",IF(OR(AND('Set the table'!$C$4="Yes",ISNUMBER(SEARCH("A",P20))),AND('Set the table'!$C$5="Yes",ISNUMBER(SEARCH("B",P20))),AND('Set the table'!$C$6="Yes",ISNUMBER(SEARCH("C",P20))),AND('Set the table'!$C$7="Yes",ISNUMBER(SEARCH("D",P20)))),"Yes",""))</f>
        <v/>
      </c>
      <c r="R20" s="19">
        <f>IF(AND(Q20="Yes",OR(D20="",E20="",F20="")),"Gap","")</f>
        <v/>
      </c>
      <c r="S20" s="19">
        <f>IF(C20="","",IF(OR(F20="Watch",F20="Problem",F20="Unknown"),"Yes",""))</f>
        <v/>
      </c>
      <c r="T20" s="19">
        <f>IF(S20="","",IFERROR(VLOOKUP(L20,Lists!$F$2:$G$5,2,0),1))</f>
        <v/>
      </c>
      <c r="U20" s="19">
        <f>IF(AND(S20="Yes",ISNUMBER(J20),ISNUMBER(K20)),ABS(K20-J20)*T20,"")</f>
        <v/>
      </c>
      <c r="V20" s="19">
        <f>IF(AND(C20&lt;&gt;"",ISNUMBER(I20)),IFERROR(VLOOKUP(G20,Lists!$C$2:$D$12,2,0),"other"),"")</f>
        <v/>
      </c>
      <c r="W20" s="19">
        <f>IF(S20="Yes",IF(ISNUMBER(U20),U20,-1)-ROW()/100000,"")</f>
        <v/>
      </c>
      <c r="X20" s="19">
        <f>IF(AND(C20&lt;&gt;"",OR(F20="Problem",F20="Watch")),ROW()-3,"")</f>
        <v/>
      </c>
      <c r="Y20" s="19">
        <f>IF(AND(C20&lt;&gt;"",F20="Unknown"),ROW()-3,"")</f>
        <v/>
      </c>
      <c r="Z20" s="19">
        <f>IF(AND(C20&lt;&gt;"",F20="Problem"),ROW()-3,"")</f>
        <v/>
      </c>
    </row>
    <row r="21">
      <c r="A21" s="11" t="n">
        <v>18</v>
      </c>
      <c r="B21" s="11" t="inlineStr">
        <is>
          <t>Chat</t>
        </is>
      </c>
      <c r="C21" s="12" t="inlineStr">
        <is>
          <t>Bot or automation element</t>
        </is>
      </c>
      <c r="D21" s="12" t="n"/>
      <c r="E21" s="12" t="n"/>
      <c r="F21" s="11" t="n"/>
      <c r="G21" s="11" t="inlineStr">
        <is>
          <t>CPT / volume</t>
        </is>
      </c>
      <c r="H21" s="11" t="n"/>
      <c r="I21" s="11" t="n"/>
      <c r="J21" s="11" t="n"/>
      <c r="K21" s="11" t="n"/>
      <c r="L21" s="11" t="n"/>
      <c r="M21" s="11" t="n"/>
      <c r="N21" s="11" t="n"/>
      <c r="O21" s="12" t="n"/>
      <c r="P21" s="11" t="n"/>
      <c r="Q21" s="19">
        <f>IF(C21="","",IF(OR(AND('Set the table'!$C$4="Yes",ISNUMBER(SEARCH("A",P21))),AND('Set the table'!$C$5="Yes",ISNUMBER(SEARCH("B",P21))),AND('Set the table'!$C$6="Yes",ISNUMBER(SEARCH("C",P21))),AND('Set the table'!$C$7="Yes",ISNUMBER(SEARCH("D",P21)))),"Yes",""))</f>
        <v/>
      </c>
      <c r="R21" s="19">
        <f>IF(AND(Q21="Yes",OR(D21="",E21="",F21="")),"Gap","")</f>
        <v/>
      </c>
      <c r="S21" s="19">
        <f>IF(C21="","",IF(OR(F21="Watch",F21="Problem",F21="Unknown"),"Yes",""))</f>
        <v/>
      </c>
      <c r="T21" s="19">
        <f>IF(S21="","",IFERROR(VLOOKUP(L21,Lists!$F$2:$G$5,2,0),1))</f>
        <v/>
      </c>
      <c r="U21" s="19">
        <f>IF(AND(S21="Yes",ISNUMBER(J21),ISNUMBER(K21)),ABS(K21-J21)*T21,"")</f>
        <v/>
      </c>
      <c r="V21" s="19">
        <f>IF(AND(C21&lt;&gt;"",ISNUMBER(I21)),IFERROR(VLOOKUP(G21,Lists!$C$2:$D$12,2,0),"other"),"")</f>
        <v/>
      </c>
      <c r="W21" s="19">
        <f>IF(S21="Yes",IF(ISNUMBER(U21),U21,-1)-ROW()/100000,"")</f>
        <v/>
      </c>
      <c r="X21" s="19">
        <f>IF(AND(C21&lt;&gt;"",OR(F21="Problem",F21="Watch")),ROW()-3,"")</f>
        <v/>
      </c>
      <c r="Y21" s="19">
        <f>IF(AND(C21&lt;&gt;"",F21="Unknown"),ROW()-3,"")</f>
        <v/>
      </c>
      <c r="Z21" s="19">
        <f>IF(AND(C21&lt;&gt;"",F21="Problem"),ROW()-3,"")</f>
        <v/>
      </c>
    </row>
    <row r="22">
      <c r="A22" s="11" t="n">
        <v>19</v>
      </c>
      <c r="B22" s="11" t="inlineStr">
        <is>
          <t>Chat</t>
        </is>
      </c>
      <c r="C22" s="12" t="inlineStr">
        <is>
          <t>Service level target and hours</t>
        </is>
      </c>
      <c r="D22" s="12" t="n"/>
      <c r="E22" s="12" t="n"/>
      <c r="F22" s="11" t="n"/>
      <c r="G22" s="11" t="inlineStr">
        <is>
          <t>Service level</t>
        </is>
      </c>
      <c r="H22" s="11" t="n"/>
      <c r="I22" s="11" t="n"/>
      <c r="J22" s="11" t="n"/>
      <c r="K22" s="11" t="n"/>
      <c r="L22" s="11" t="n"/>
      <c r="M22" s="11" t="n"/>
      <c r="N22" s="11" t="n"/>
      <c r="O22" s="12" t="n"/>
      <c r="P22" s="11" t="n"/>
      <c r="Q22" s="19">
        <f>IF(C22="","",IF(OR(AND('Set the table'!$C$4="Yes",ISNUMBER(SEARCH("A",P22))),AND('Set the table'!$C$5="Yes",ISNUMBER(SEARCH("B",P22))),AND('Set the table'!$C$6="Yes",ISNUMBER(SEARCH("C",P22))),AND('Set the table'!$C$7="Yes",ISNUMBER(SEARCH("D",P22)))),"Yes",""))</f>
        <v/>
      </c>
      <c r="R22" s="19">
        <f>IF(AND(Q22="Yes",OR(D22="",E22="",F22="")),"Gap","")</f>
        <v/>
      </c>
      <c r="S22" s="19">
        <f>IF(C22="","",IF(OR(F22="Watch",F22="Problem",F22="Unknown"),"Yes",""))</f>
        <v/>
      </c>
      <c r="T22" s="19">
        <f>IF(S22="","",IFERROR(VLOOKUP(L22,Lists!$F$2:$G$5,2,0),1))</f>
        <v/>
      </c>
      <c r="U22" s="19">
        <f>IF(AND(S22="Yes",ISNUMBER(J22),ISNUMBER(K22)),ABS(K22-J22)*T22,"")</f>
        <v/>
      </c>
      <c r="V22" s="19">
        <f>IF(AND(C22&lt;&gt;"",ISNUMBER(I22)),IFERROR(VLOOKUP(G22,Lists!$C$2:$D$12,2,0),"other"),"")</f>
        <v/>
      </c>
      <c r="W22" s="19">
        <f>IF(S22="Yes",IF(ISNUMBER(U22),U22,-1)-ROW()/100000,"")</f>
        <v/>
      </c>
      <c r="X22" s="19">
        <f>IF(AND(C22&lt;&gt;"",OR(F22="Problem",F22="Watch")),ROW()-3,"")</f>
        <v/>
      </c>
      <c r="Y22" s="19">
        <f>IF(AND(C22&lt;&gt;"",F22="Unknown"),ROW()-3,"")</f>
        <v/>
      </c>
      <c r="Z22" s="19">
        <f>IF(AND(C22&lt;&gt;"",F22="Problem"),ROW()-3,"")</f>
        <v/>
      </c>
    </row>
    <row r="23">
      <c r="A23" s="11" t="n">
        <v>20</v>
      </c>
      <c r="B23" s="11" t="inlineStr">
        <is>
          <t>Voice</t>
        </is>
      </c>
      <c r="C23" s="12" t="inlineStr">
        <is>
          <t>Channel usage share</t>
        </is>
      </c>
      <c r="D23" s="12" t="n"/>
      <c r="E23" s="12" t="n"/>
      <c r="F23" s="11" t="n"/>
      <c r="G23" s="11" t="inlineStr">
        <is>
          <t>CPT / volume</t>
        </is>
      </c>
      <c r="H23" s="11" t="n"/>
      <c r="I23" s="11" t="n"/>
      <c r="J23" s="11" t="n"/>
      <c r="K23" s="11" t="n"/>
      <c r="L23" s="11" t="n"/>
      <c r="M23" s="11" t="n"/>
      <c r="N23" s="11" t="n"/>
      <c r="O23" s="12" t="n"/>
      <c r="P23" s="11" t="inlineStr">
        <is>
          <t>ABC</t>
        </is>
      </c>
      <c r="Q23" s="19">
        <f>IF(C23="","",IF(OR(AND('Set the table'!$C$4="Yes",ISNUMBER(SEARCH("A",P23))),AND('Set the table'!$C$5="Yes",ISNUMBER(SEARCH("B",P23))),AND('Set the table'!$C$6="Yes",ISNUMBER(SEARCH("C",P23))),AND('Set the table'!$C$7="Yes",ISNUMBER(SEARCH("D",P23)))),"Yes",""))</f>
        <v/>
      </c>
      <c r="R23" s="19">
        <f>IF(AND(Q23="Yes",OR(D23="",E23="",F23="")),"Gap","")</f>
        <v/>
      </c>
      <c r="S23" s="19">
        <f>IF(C23="","",IF(OR(F23="Watch",F23="Problem",F23="Unknown"),"Yes",""))</f>
        <v/>
      </c>
      <c r="T23" s="19">
        <f>IF(S23="","",IFERROR(VLOOKUP(L23,Lists!$F$2:$G$5,2,0),1))</f>
        <v/>
      </c>
      <c r="U23" s="19">
        <f>IF(AND(S23="Yes",ISNUMBER(J23),ISNUMBER(K23)),ABS(K23-J23)*T23,"")</f>
        <v/>
      </c>
      <c r="V23" s="19">
        <f>IF(AND(C23&lt;&gt;"",ISNUMBER(I23)),IFERROR(VLOOKUP(G23,Lists!$C$2:$D$12,2,0),"other"),"")</f>
        <v/>
      </c>
      <c r="W23" s="19">
        <f>IF(S23="Yes",IF(ISNUMBER(U23),U23,-1)-ROW()/100000,"")</f>
        <v/>
      </c>
      <c r="X23" s="19">
        <f>IF(AND(C23&lt;&gt;"",OR(F23="Problem",F23="Watch")),ROW()-3,"")</f>
        <v/>
      </c>
      <c r="Y23" s="19">
        <f>IF(AND(C23&lt;&gt;"",F23="Unknown"),ROW()-3,"")</f>
        <v/>
      </c>
      <c r="Z23" s="19">
        <f>IF(AND(C23&lt;&gt;"",F23="Problem"),ROW()-3,"")</f>
        <v/>
      </c>
    </row>
    <row r="24">
      <c r="A24" s="11" t="n">
        <v>21</v>
      </c>
      <c r="B24" s="11" t="inlineStr">
        <is>
          <t>Voice</t>
        </is>
      </c>
      <c r="C24" s="12" t="inlineStr">
        <is>
          <t>IVR and routing design (menus, skills, overflow)</t>
        </is>
      </c>
      <c r="D24" s="12" t="n"/>
      <c r="E24" s="12" t="n"/>
      <c r="F24" s="11" t="n"/>
      <c r="G24" s="11" t="inlineStr">
        <is>
          <t>AHT</t>
        </is>
      </c>
      <c r="H24" s="11" t="n"/>
      <c r="I24" s="11" t="n"/>
      <c r="J24" s="11" t="n"/>
      <c r="K24" s="11" t="n"/>
      <c r="L24" s="11" t="n"/>
      <c r="M24" s="11" t="n"/>
      <c r="N24" s="11" t="n"/>
      <c r="O24" s="12" t="n"/>
      <c r="P24" s="11" t="n"/>
      <c r="Q24" s="19">
        <f>IF(C24="","",IF(OR(AND('Set the table'!$C$4="Yes",ISNUMBER(SEARCH("A",P24))),AND('Set the table'!$C$5="Yes",ISNUMBER(SEARCH("B",P24))),AND('Set the table'!$C$6="Yes",ISNUMBER(SEARCH("C",P24))),AND('Set the table'!$C$7="Yes",ISNUMBER(SEARCH("D",P24)))),"Yes",""))</f>
        <v/>
      </c>
      <c r="R24" s="19">
        <f>IF(AND(Q24="Yes",OR(D24="",E24="",F24="")),"Gap","")</f>
        <v/>
      </c>
      <c r="S24" s="19">
        <f>IF(C24="","",IF(OR(F24="Watch",F24="Problem",F24="Unknown"),"Yes",""))</f>
        <v/>
      </c>
      <c r="T24" s="19">
        <f>IF(S24="","",IFERROR(VLOOKUP(L24,Lists!$F$2:$G$5,2,0),1))</f>
        <v/>
      </c>
      <c r="U24" s="19">
        <f>IF(AND(S24="Yes",ISNUMBER(J24),ISNUMBER(K24)),ABS(K24-J24)*T24,"")</f>
        <v/>
      </c>
      <c r="V24" s="19">
        <f>IF(AND(C24&lt;&gt;"",ISNUMBER(I24)),IFERROR(VLOOKUP(G24,Lists!$C$2:$D$12,2,0),"other"),"")</f>
        <v/>
      </c>
      <c r="W24" s="19">
        <f>IF(S24="Yes",IF(ISNUMBER(U24),U24,-1)-ROW()/100000,"")</f>
        <v/>
      </c>
      <c r="X24" s="19">
        <f>IF(AND(C24&lt;&gt;"",OR(F24="Problem",F24="Watch")),ROW()-3,"")</f>
        <v/>
      </c>
      <c r="Y24" s="19">
        <f>IF(AND(C24&lt;&gt;"",F24="Unknown"),ROW()-3,"")</f>
        <v/>
      </c>
      <c r="Z24" s="19">
        <f>IF(AND(C24&lt;&gt;"",F24="Problem"),ROW()-3,"")</f>
        <v/>
      </c>
    </row>
    <row r="25">
      <c r="A25" s="11" t="n">
        <v>22</v>
      </c>
      <c r="B25" s="11" t="inlineStr">
        <is>
          <t>Voice</t>
        </is>
      </c>
      <c r="C25" s="12" t="inlineStr">
        <is>
          <t>Entry points, caller identification and security time</t>
        </is>
      </c>
      <c r="D25" s="12" t="n"/>
      <c r="E25" s="12" t="n"/>
      <c r="F25" s="11" t="n"/>
      <c r="G25" s="11" t="inlineStr">
        <is>
          <t>AHT</t>
        </is>
      </c>
      <c r="H25" s="11" t="n"/>
      <c r="I25" s="11" t="n"/>
      <c r="J25" s="11" t="n"/>
      <c r="K25" s="11" t="n"/>
      <c r="L25" s="11" t="n"/>
      <c r="M25" s="11" t="n"/>
      <c r="N25" s="11" t="n"/>
      <c r="O25" s="12" t="n"/>
      <c r="P25" s="11" t="inlineStr">
        <is>
          <t>C</t>
        </is>
      </c>
      <c r="Q25" s="19">
        <f>IF(C25="","",IF(OR(AND('Set the table'!$C$4="Yes",ISNUMBER(SEARCH("A",P25))),AND('Set the table'!$C$5="Yes",ISNUMBER(SEARCH("B",P25))),AND('Set the table'!$C$6="Yes",ISNUMBER(SEARCH("C",P25))),AND('Set the table'!$C$7="Yes",ISNUMBER(SEARCH("D",P25)))),"Yes",""))</f>
        <v/>
      </c>
      <c r="R25" s="19">
        <f>IF(AND(Q25="Yes",OR(D25="",E25="",F25="")),"Gap","")</f>
        <v/>
      </c>
      <c r="S25" s="19">
        <f>IF(C25="","",IF(OR(F25="Watch",F25="Problem",F25="Unknown"),"Yes",""))</f>
        <v/>
      </c>
      <c r="T25" s="19">
        <f>IF(S25="","",IFERROR(VLOOKUP(L25,Lists!$F$2:$G$5,2,0),1))</f>
        <v/>
      </c>
      <c r="U25" s="19">
        <f>IF(AND(S25="Yes",ISNUMBER(J25),ISNUMBER(K25)),ABS(K25-J25)*T25,"")</f>
        <v/>
      </c>
      <c r="V25" s="19">
        <f>IF(AND(C25&lt;&gt;"",ISNUMBER(I25)),IFERROR(VLOOKUP(G25,Lists!$C$2:$D$12,2,0),"other"),"")</f>
        <v/>
      </c>
      <c r="W25" s="19">
        <f>IF(S25="Yes",IF(ISNUMBER(U25),U25,-1)-ROW()/100000,"")</f>
        <v/>
      </c>
      <c r="X25" s="19">
        <f>IF(AND(C25&lt;&gt;"",OR(F25="Problem",F25="Watch")),ROW()-3,"")</f>
        <v/>
      </c>
      <c r="Y25" s="19">
        <f>IF(AND(C25&lt;&gt;"",F25="Unknown"),ROW()-3,"")</f>
        <v/>
      </c>
      <c r="Z25" s="19">
        <f>IF(AND(C25&lt;&gt;"",F25="Problem"),ROW()-3,"")</f>
        <v/>
      </c>
    </row>
    <row r="26">
      <c r="A26" s="11" t="n">
        <v>23</v>
      </c>
      <c r="B26" s="11" t="inlineStr">
        <is>
          <t>Voice</t>
        </is>
      </c>
      <c r="C26" s="12" t="inlineStr">
        <is>
          <t>Service level target and hours</t>
        </is>
      </c>
      <c r="D26" s="12" t="n"/>
      <c r="E26" s="12" t="n"/>
      <c r="F26" s="11" t="n"/>
      <c r="G26" s="11" t="inlineStr">
        <is>
          <t>Service level</t>
        </is>
      </c>
      <c r="H26" s="11" t="n"/>
      <c r="I26" s="11" t="n"/>
      <c r="J26" s="11" t="n"/>
      <c r="K26" s="11" t="n"/>
      <c r="L26" s="11" t="n"/>
      <c r="M26" s="11" t="n"/>
      <c r="N26" s="11" t="n"/>
      <c r="O26" s="12" t="n"/>
      <c r="P26" s="11" t="n"/>
      <c r="Q26" s="19">
        <f>IF(C26="","",IF(OR(AND('Set the table'!$C$4="Yes",ISNUMBER(SEARCH("A",P26))),AND('Set the table'!$C$5="Yes",ISNUMBER(SEARCH("B",P26))),AND('Set the table'!$C$6="Yes",ISNUMBER(SEARCH("C",P26))),AND('Set the table'!$C$7="Yes",ISNUMBER(SEARCH("D",P26)))),"Yes",""))</f>
        <v/>
      </c>
      <c r="R26" s="19">
        <f>IF(AND(Q26="Yes",OR(D26="",E26="",F26="")),"Gap","")</f>
        <v/>
      </c>
      <c r="S26" s="19">
        <f>IF(C26="","",IF(OR(F26="Watch",F26="Problem",F26="Unknown"),"Yes",""))</f>
        <v/>
      </c>
      <c r="T26" s="19">
        <f>IF(S26="","",IFERROR(VLOOKUP(L26,Lists!$F$2:$G$5,2,0),1))</f>
        <v/>
      </c>
      <c r="U26" s="19">
        <f>IF(AND(S26="Yes",ISNUMBER(J26),ISNUMBER(K26)),ABS(K26-J26)*T26,"")</f>
        <v/>
      </c>
      <c r="V26" s="19">
        <f>IF(AND(C26&lt;&gt;"",ISNUMBER(I26)),IFERROR(VLOOKUP(G26,Lists!$C$2:$D$12,2,0),"other"),"")</f>
        <v/>
      </c>
      <c r="W26" s="19">
        <f>IF(S26="Yes",IF(ISNUMBER(U26),U26,-1)-ROW()/100000,"")</f>
        <v/>
      </c>
      <c r="X26" s="19">
        <f>IF(AND(C26&lt;&gt;"",OR(F26="Problem",F26="Watch")),ROW()-3,"")</f>
        <v/>
      </c>
      <c r="Y26" s="19">
        <f>IF(AND(C26&lt;&gt;"",F26="Unknown"),ROW()-3,"")</f>
        <v/>
      </c>
      <c r="Z26" s="19">
        <f>IF(AND(C26&lt;&gt;"",F26="Problem"),ROW()-3,"")</f>
        <v/>
      </c>
    </row>
    <row r="27">
      <c r="A27" s="11" t="n">
        <v>24</v>
      </c>
      <c r="B27" s="11" t="inlineStr">
        <is>
          <t>Email</t>
        </is>
      </c>
      <c r="C27" s="12" t="inlineStr">
        <is>
          <t>Channel usage share and turnaround target</t>
        </is>
      </c>
      <c r="D27" s="12" t="n"/>
      <c r="E27" s="12" t="n"/>
      <c r="F27" s="11" t="n"/>
      <c r="G27" s="11" t="inlineStr">
        <is>
          <t>CPT / volume</t>
        </is>
      </c>
      <c r="H27" s="11" t="n"/>
      <c r="I27" s="11" t="n"/>
      <c r="J27" s="11" t="n"/>
      <c r="K27" s="11" t="n"/>
      <c r="L27" s="11" t="n"/>
      <c r="M27" s="11" t="n"/>
      <c r="N27" s="11" t="n"/>
      <c r="O27" s="12" t="n"/>
      <c r="P27" s="11" t="inlineStr">
        <is>
          <t>ABC</t>
        </is>
      </c>
      <c r="Q27" s="19">
        <f>IF(C27="","",IF(OR(AND('Set the table'!$C$4="Yes",ISNUMBER(SEARCH("A",P27))),AND('Set the table'!$C$5="Yes",ISNUMBER(SEARCH("B",P27))),AND('Set the table'!$C$6="Yes",ISNUMBER(SEARCH("C",P27))),AND('Set the table'!$C$7="Yes",ISNUMBER(SEARCH("D",P27)))),"Yes",""))</f>
        <v/>
      </c>
      <c r="R27" s="19">
        <f>IF(AND(Q27="Yes",OR(D27="",E27="",F27="")),"Gap","")</f>
        <v/>
      </c>
      <c r="S27" s="19">
        <f>IF(C27="","",IF(OR(F27="Watch",F27="Problem",F27="Unknown"),"Yes",""))</f>
        <v/>
      </c>
      <c r="T27" s="19">
        <f>IF(S27="","",IFERROR(VLOOKUP(L27,Lists!$F$2:$G$5,2,0),1))</f>
        <v/>
      </c>
      <c r="U27" s="19">
        <f>IF(AND(S27="Yes",ISNUMBER(J27),ISNUMBER(K27)),ABS(K27-J27)*T27,"")</f>
        <v/>
      </c>
      <c r="V27" s="19">
        <f>IF(AND(C27&lt;&gt;"",ISNUMBER(I27)),IFERROR(VLOOKUP(G27,Lists!$C$2:$D$12,2,0),"other"),"")</f>
        <v/>
      </c>
      <c r="W27" s="19">
        <f>IF(S27="Yes",IF(ISNUMBER(U27),U27,-1)-ROW()/100000,"")</f>
        <v/>
      </c>
      <c r="X27" s="19">
        <f>IF(AND(C27&lt;&gt;"",OR(F27="Problem",F27="Watch")),ROW()-3,"")</f>
        <v/>
      </c>
      <c r="Y27" s="19">
        <f>IF(AND(C27&lt;&gt;"",F27="Unknown"),ROW()-3,"")</f>
        <v/>
      </c>
      <c r="Z27" s="19">
        <f>IF(AND(C27&lt;&gt;"",F27="Problem"),ROW()-3,"")</f>
        <v/>
      </c>
    </row>
    <row r="28">
      <c r="A28" s="11" t="n">
        <v>25</v>
      </c>
      <c r="B28" s="11" t="inlineStr">
        <is>
          <t>Handle time</t>
        </is>
      </c>
      <c r="C28" s="12" t="inlineStr">
        <is>
          <t>AHT definition: elapsed or agent work; is concurrency inside it?</t>
        </is>
      </c>
      <c r="D28" s="12" t="n"/>
      <c r="E28" s="12" t="n"/>
      <c r="F28" s="11" t="n"/>
      <c r="G28" s="11" t="inlineStr">
        <is>
          <t>AHT</t>
        </is>
      </c>
      <c r="H28" s="11" t="n"/>
      <c r="I28" s="11" t="n"/>
      <c r="J28" s="11" t="n"/>
      <c r="K28" s="11" t="n"/>
      <c r="L28" s="11" t="n"/>
      <c r="M28" s="11" t="n"/>
      <c r="N28" s="11" t="n"/>
      <c r="O28" s="12" t="n"/>
      <c r="P28" s="11" t="inlineStr">
        <is>
          <t>ABCD</t>
        </is>
      </c>
      <c r="Q28" s="19">
        <f>IF(C28="","",IF(OR(AND('Set the table'!$C$4="Yes",ISNUMBER(SEARCH("A",P28))),AND('Set the table'!$C$5="Yes",ISNUMBER(SEARCH("B",P28))),AND('Set the table'!$C$6="Yes",ISNUMBER(SEARCH("C",P28))),AND('Set the table'!$C$7="Yes",ISNUMBER(SEARCH("D",P28)))),"Yes",""))</f>
        <v/>
      </c>
      <c r="R28" s="19">
        <f>IF(AND(Q28="Yes",OR(D28="",E28="",F28="")),"Gap","")</f>
        <v/>
      </c>
      <c r="S28" s="19">
        <f>IF(C28="","",IF(OR(F28="Watch",F28="Problem",F28="Unknown"),"Yes",""))</f>
        <v/>
      </c>
      <c r="T28" s="19">
        <f>IF(S28="","",IFERROR(VLOOKUP(L28,Lists!$F$2:$G$5,2,0),1))</f>
        <v/>
      </c>
      <c r="U28" s="19">
        <f>IF(AND(S28="Yes",ISNUMBER(J28),ISNUMBER(K28)),ABS(K28-J28)*T28,"")</f>
        <v/>
      </c>
      <c r="V28" s="19">
        <f>IF(AND(C28&lt;&gt;"",ISNUMBER(I28)),IFERROR(VLOOKUP(G28,Lists!$C$2:$D$12,2,0),"other"),"")</f>
        <v/>
      </c>
      <c r="W28" s="19">
        <f>IF(S28="Yes",IF(ISNUMBER(U28),U28,-1)-ROW()/100000,"")</f>
        <v/>
      </c>
      <c r="X28" s="19">
        <f>IF(AND(C28&lt;&gt;"",OR(F28="Problem",F28="Watch")),ROW()-3,"")</f>
        <v/>
      </c>
      <c r="Y28" s="19">
        <f>IF(AND(C28&lt;&gt;"",F28="Unknown"),ROW()-3,"")</f>
        <v/>
      </c>
      <c r="Z28" s="19">
        <f>IF(AND(C28&lt;&gt;"",F28="Problem"),ROW()-3,"")</f>
        <v/>
      </c>
    </row>
    <row r="29">
      <c r="A29" s="11" t="n">
        <v>26</v>
      </c>
      <c r="B29" s="11" t="inlineStr">
        <is>
          <t>Handle time</t>
        </is>
      </c>
      <c r="C29" s="12" t="inlineStr">
        <is>
          <t>AHT baseline by channel and country, from the client's own history</t>
        </is>
      </c>
      <c r="D29" s="12" t="n"/>
      <c r="E29" s="12" t="n"/>
      <c r="F29" s="11" t="n"/>
      <c r="G29" s="11" t="inlineStr">
        <is>
          <t>AHT</t>
        </is>
      </c>
      <c r="H29" s="11" t="n"/>
      <c r="I29" s="11" t="n"/>
      <c r="J29" s="11" t="n"/>
      <c r="K29" s="11" t="n"/>
      <c r="L29" s="11" t="n"/>
      <c r="M29" s="11" t="n"/>
      <c r="N29" s="11" t="n"/>
      <c r="O29" s="12" t="n"/>
      <c r="P29" s="11" t="inlineStr">
        <is>
          <t>ABCD</t>
        </is>
      </c>
      <c r="Q29" s="19">
        <f>IF(C29="","",IF(OR(AND('Set the table'!$C$4="Yes",ISNUMBER(SEARCH("A",P29))),AND('Set the table'!$C$5="Yes",ISNUMBER(SEARCH("B",P29))),AND('Set the table'!$C$6="Yes",ISNUMBER(SEARCH("C",P29))),AND('Set the table'!$C$7="Yes",ISNUMBER(SEARCH("D",P29)))),"Yes",""))</f>
        <v/>
      </c>
      <c r="R29" s="19">
        <f>IF(AND(Q29="Yes",OR(D29="",E29="",F29="")),"Gap","")</f>
        <v/>
      </c>
      <c r="S29" s="19">
        <f>IF(C29="","",IF(OR(F29="Watch",F29="Problem",F29="Unknown"),"Yes",""))</f>
        <v/>
      </c>
      <c r="T29" s="19">
        <f>IF(S29="","",IFERROR(VLOOKUP(L29,Lists!$F$2:$G$5,2,0),1))</f>
        <v/>
      </c>
      <c r="U29" s="19">
        <f>IF(AND(S29="Yes",ISNUMBER(J29),ISNUMBER(K29)),ABS(K29-J29)*T29,"")</f>
        <v/>
      </c>
      <c r="V29" s="19">
        <f>IF(AND(C29&lt;&gt;"",ISNUMBER(I29)),IFERROR(VLOOKUP(G29,Lists!$C$2:$D$12,2,0),"other"),"")</f>
        <v/>
      </c>
      <c r="W29" s="19">
        <f>IF(S29="Yes",IF(ISNUMBER(U29),U29,-1)-ROW()/100000,"")</f>
        <v/>
      </c>
      <c r="X29" s="19">
        <f>IF(AND(C29&lt;&gt;"",OR(F29="Problem",F29="Watch")),ROW()-3,"")</f>
        <v/>
      </c>
      <c r="Y29" s="19">
        <f>IF(AND(C29&lt;&gt;"",F29="Unknown"),ROW()-3,"")</f>
        <v/>
      </c>
      <c r="Z29" s="19">
        <f>IF(AND(C29&lt;&gt;"",F29="Problem"),ROW()-3,"")</f>
        <v/>
      </c>
    </row>
    <row r="30">
      <c r="A30" s="11" t="n">
        <v>27</v>
      </c>
      <c r="B30" s="11" t="inlineStr">
        <is>
          <t>Handle time</t>
        </is>
      </c>
      <c r="C30" s="12" t="inlineStr">
        <is>
          <t>Cutover penalty and decay; phase-specific handle time</t>
        </is>
      </c>
      <c r="D30" s="12" t="n"/>
      <c r="E30" s="12" t="n"/>
      <c r="F30" s="11" t="n"/>
      <c r="G30" s="11" t="inlineStr">
        <is>
          <t>AHT</t>
        </is>
      </c>
      <c r="H30" s="11" t="n"/>
      <c r="I30" s="11" t="n"/>
      <c r="J30" s="11" t="n"/>
      <c r="K30" s="11" t="n"/>
      <c r="L30" s="11" t="n"/>
      <c r="M30" s="11" t="n"/>
      <c r="N30" s="11" t="n"/>
      <c r="O30" s="12" t="n"/>
      <c r="P30" s="11" t="inlineStr">
        <is>
          <t>BC</t>
        </is>
      </c>
      <c r="Q30" s="19">
        <f>IF(C30="","",IF(OR(AND('Set the table'!$C$4="Yes",ISNUMBER(SEARCH("A",P30))),AND('Set the table'!$C$5="Yes",ISNUMBER(SEARCH("B",P30))),AND('Set the table'!$C$6="Yes",ISNUMBER(SEARCH("C",P30))),AND('Set the table'!$C$7="Yes",ISNUMBER(SEARCH("D",P30)))),"Yes",""))</f>
        <v/>
      </c>
      <c r="R30" s="19">
        <f>IF(AND(Q30="Yes",OR(D30="",E30="",F30="")),"Gap","")</f>
        <v/>
      </c>
      <c r="S30" s="19">
        <f>IF(C30="","",IF(OR(F30="Watch",F30="Problem",F30="Unknown"),"Yes",""))</f>
        <v/>
      </c>
      <c r="T30" s="19">
        <f>IF(S30="","",IFERROR(VLOOKUP(L30,Lists!$F$2:$G$5,2,0),1))</f>
        <v/>
      </c>
      <c r="U30" s="19">
        <f>IF(AND(S30="Yes",ISNUMBER(J30),ISNUMBER(K30)),ABS(K30-J30)*T30,"")</f>
        <v/>
      </c>
      <c r="V30" s="19">
        <f>IF(AND(C30&lt;&gt;"",ISNUMBER(I30)),IFERROR(VLOOKUP(G30,Lists!$C$2:$D$12,2,0),"other"),"")</f>
        <v/>
      </c>
      <c r="W30" s="19">
        <f>IF(S30="Yes",IF(ISNUMBER(U30),U30,-1)-ROW()/100000,"")</f>
        <v/>
      </c>
      <c r="X30" s="19">
        <f>IF(AND(C30&lt;&gt;"",OR(F30="Problem",F30="Watch")),ROW()-3,"")</f>
        <v/>
      </c>
      <c r="Y30" s="19">
        <f>IF(AND(C30&lt;&gt;"",F30="Unknown"),ROW()-3,"")</f>
        <v/>
      </c>
      <c r="Z30" s="19">
        <f>IF(AND(C30&lt;&gt;"",F30="Problem"),ROW()-3,"")</f>
        <v/>
      </c>
    </row>
    <row r="31">
      <c r="A31" s="11" t="n">
        <v>28</v>
      </c>
      <c r="B31" s="11" t="inlineStr">
        <is>
          <t>Handle time</t>
        </is>
      </c>
      <c r="C31" s="12" t="inlineStr">
        <is>
          <t>Tenure and proficiency; knowledge lost with departing staff</t>
        </is>
      </c>
      <c r="D31" s="12" t="n"/>
      <c r="E31" s="12" t="n"/>
      <c r="F31" s="11" t="n"/>
      <c r="G31" s="11" t="inlineStr">
        <is>
          <t>AHT</t>
        </is>
      </c>
      <c r="H31" s="11" t="n"/>
      <c r="I31" s="11" t="n"/>
      <c r="J31" s="11" t="n"/>
      <c r="K31" s="11" t="n"/>
      <c r="L31" s="11" t="n"/>
      <c r="M31" s="11" t="n"/>
      <c r="N31" s="11" t="n"/>
      <c r="O31" s="12" t="n"/>
      <c r="P31" s="11" t="inlineStr">
        <is>
          <t>D</t>
        </is>
      </c>
      <c r="Q31" s="19">
        <f>IF(C31="","",IF(OR(AND('Set the table'!$C$4="Yes",ISNUMBER(SEARCH("A",P31))),AND('Set the table'!$C$5="Yes",ISNUMBER(SEARCH("B",P31))),AND('Set the table'!$C$6="Yes",ISNUMBER(SEARCH("C",P31))),AND('Set the table'!$C$7="Yes",ISNUMBER(SEARCH("D",P31)))),"Yes",""))</f>
        <v/>
      </c>
      <c r="R31" s="19">
        <f>IF(AND(Q31="Yes",OR(D31="",E31="",F31="")),"Gap","")</f>
        <v/>
      </c>
      <c r="S31" s="19">
        <f>IF(C31="","",IF(OR(F31="Watch",F31="Problem",F31="Unknown"),"Yes",""))</f>
        <v/>
      </c>
      <c r="T31" s="19">
        <f>IF(S31="","",IFERROR(VLOOKUP(L31,Lists!$F$2:$G$5,2,0),1))</f>
        <v/>
      </c>
      <c r="U31" s="19">
        <f>IF(AND(S31="Yes",ISNUMBER(J31),ISNUMBER(K31)),ABS(K31-J31)*T31,"")</f>
        <v/>
      </c>
      <c r="V31" s="19">
        <f>IF(AND(C31&lt;&gt;"",ISNUMBER(I31)),IFERROR(VLOOKUP(G31,Lists!$C$2:$D$12,2,0),"other"),"")</f>
        <v/>
      </c>
      <c r="W31" s="19">
        <f>IF(S31="Yes",IF(ISNUMBER(U31),U31,-1)-ROW()/100000,"")</f>
        <v/>
      </c>
      <c r="X31" s="19">
        <f>IF(AND(C31&lt;&gt;"",OR(F31="Problem",F31="Watch")),ROW()-3,"")</f>
        <v/>
      </c>
      <c r="Y31" s="19">
        <f>IF(AND(C31&lt;&gt;"",F31="Unknown"),ROW()-3,"")</f>
        <v/>
      </c>
      <c r="Z31" s="19">
        <f>IF(AND(C31&lt;&gt;"",F31="Problem"),ROW()-3,"")</f>
        <v/>
      </c>
    </row>
    <row r="32">
      <c r="A32" s="11" t="n">
        <v>29</v>
      </c>
      <c r="B32" s="11" t="inlineStr">
        <is>
          <t>Supply</t>
        </is>
      </c>
      <c r="C32" s="12" t="inlineStr">
        <is>
          <t>Shrinkage: training-driven vs steady state</t>
        </is>
      </c>
      <c r="D32" s="12" t="n"/>
      <c r="E32" s="12" t="n"/>
      <c r="F32" s="11" t="n"/>
      <c r="G32" s="11" t="inlineStr">
        <is>
          <t>Shrinkage</t>
        </is>
      </c>
      <c r="H32" s="11" t="n"/>
      <c r="I32" s="11" t="n"/>
      <c r="J32" s="11" t="n"/>
      <c r="K32" s="11" t="n"/>
      <c r="L32" s="11" t="n"/>
      <c r="M32" s="11" t="n"/>
      <c r="N32" s="11" t="n"/>
      <c r="O32" s="12" t="n"/>
      <c r="P32" s="11" t="inlineStr">
        <is>
          <t>ABCD</t>
        </is>
      </c>
      <c r="Q32" s="19">
        <f>IF(C32="","",IF(OR(AND('Set the table'!$C$4="Yes",ISNUMBER(SEARCH("A",P32))),AND('Set the table'!$C$5="Yes",ISNUMBER(SEARCH("B",P32))),AND('Set the table'!$C$6="Yes",ISNUMBER(SEARCH("C",P32))),AND('Set the table'!$C$7="Yes",ISNUMBER(SEARCH("D",P32)))),"Yes",""))</f>
        <v/>
      </c>
      <c r="R32" s="19">
        <f>IF(AND(Q32="Yes",OR(D32="",E32="",F32="")),"Gap","")</f>
        <v/>
      </c>
      <c r="S32" s="19">
        <f>IF(C32="","",IF(OR(F32="Watch",F32="Problem",F32="Unknown"),"Yes",""))</f>
        <v/>
      </c>
      <c r="T32" s="19">
        <f>IF(S32="","",IFERROR(VLOOKUP(L32,Lists!$F$2:$G$5,2,0),1))</f>
        <v/>
      </c>
      <c r="U32" s="19">
        <f>IF(AND(S32="Yes",ISNUMBER(J32),ISNUMBER(K32)),ABS(K32-J32)*T32,"")</f>
        <v/>
      </c>
      <c r="V32" s="19">
        <f>IF(AND(C32&lt;&gt;"",ISNUMBER(I32)),IFERROR(VLOOKUP(G32,Lists!$C$2:$D$12,2,0),"other"),"")</f>
        <v/>
      </c>
      <c r="W32" s="19">
        <f>IF(S32="Yes",IF(ISNUMBER(U32),U32,-1)-ROW()/100000,"")</f>
        <v/>
      </c>
      <c r="X32" s="19">
        <f>IF(AND(C32&lt;&gt;"",OR(F32="Problem",F32="Watch")),ROW()-3,"")</f>
        <v/>
      </c>
      <c r="Y32" s="19">
        <f>IF(AND(C32&lt;&gt;"",F32="Unknown"),ROW()-3,"")</f>
        <v/>
      </c>
      <c r="Z32" s="19">
        <f>IF(AND(C32&lt;&gt;"",F32="Problem"),ROW()-3,"")</f>
        <v/>
      </c>
    </row>
    <row r="33">
      <c r="A33" s="11" t="n">
        <v>30</v>
      </c>
      <c r="B33" s="11" t="inlineStr">
        <is>
          <t>Supply</t>
        </is>
      </c>
      <c r="C33" s="12" t="inlineStr">
        <is>
          <t>Training length, nesting and proficiency ramp</t>
        </is>
      </c>
      <c r="D33" s="12" t="n"/>
      <c r="E33" s="12" t="n"/>
      <c r="F33" s="11" t="n"/>
      <c r="G33" s="11" t="inlineStr">
        <is>
          <t>Supply timing</t>
        </is>
      </c>
      <c r="H33" s="11" t="n"/>
      <c r="I33" s="11" t="n"/>
      <c r="J33" s="11" t="n"/>
      <c r="K33" s="11" t="n"/>
      <c r="L33" s="11" t="n"/>
      <c r="M33" s="11" t="n"/>
      <c r="N33" s="11" t="n"/>
      <c r="O33" s="12" t="n"/>
      <c r="P33" s="11" t="inlineStr">
        <is>
          <t>ABCD</t>
        </is>
      </c>
      <c r="Q33" s="19">
        <f>IF(C33="","",IF(OR(AND('Set the table'!$C$4="Yes",ISNUMBER(SEARCH("A",P33))),AND('Set the table'!$C$5="Yes",ISNUMBER(SEARCH("B",P33))),AND('Set the table'!$C$6="Yes",ISNUMBER(SEARCH("C",P33))),AND('Set the table'!$C$7="Yes",ISNUMBER(SEARCH("D",P33)))),"Yes",""))</f>
        <v/>
      </c>
      <c r="R33" s="19">
        <f>IF(AND(Q33="Yes",OR(D33="",E33="",F33="")),"Gap","")</f>
        <v/>
      </c>
      <c r="S33" s="19">
        <f>IF(C33="","",IF(OR(F33="Watch",F33="Problem",F33="Unknown"),"Yes",""))</f>
        <v/>
      </c>
      <c r="T33" s="19">
        <f>IF(S33="","",IFERROR(VLOOKUP(L33,Lists!$F$2:$G$5,2,0),1))</f>
        <v/>
      </c>
      <c r="U33" s="19">
        <f>IF(AND(S33="Yes",ISNUMBER(J33),ISNUMBER(K33)),ABS(K33-J33)*T33,"")</f>
        <v/>
      </c>
      <c r="V33" s="19">
        <f>IF(AND(C33&lt;&gt;"",ISNUMBER(I33)),IFERROR(VLOOKUP(G33,Lists!$C$2:$D$12,2,0),"other"),"")</f>
        <v/>
      </c>
      <c r="W33" s="19">
        <f>IF(S33="Yes",IF(ISNUMBER(U33),U33,-1)-ROW()/100000,"")</f>
        <v/>
      </c>
      <c r="X33" s="19">
        <f>IF(AND(C33&lt;&gt;"",OR(F33="Problem",F33="Watch")),ROW()-3,"")</f>
        <v/>
      </c>
      <c r="Y33" s="19">
        <f>IF(AND(C33&lt;&gt;"",F33="Unknown"),ROW()-3,"")</f>
        <v/>
      </c>
      <c r="Z33" s="19">
        <f>IF(AND(C33&lt;&gt;"",F33="Problem"),ROW()-3,"")</f>
        <v/>
      </c>
    </row>
    <row r="34">
      <c r="A34" s="11" t="n">
        <v>31</v>
      </c>
      <c r="B34" s="11" t="inlineStr">
        <is>
          <t>Supply</t>
        </is>
      </c>
      <c r="C34" s="12" t="inlineStr">
        <is>
          <t>Delivered capacity: heads to productive hours; plannable occupancy</t>
        </is>
      </c>
      <c r="D34" s="12" t="n"/>
      <c r="E34" s="12" t="n"/>
      <c r="F34" s="11" t="n"/>
      <c r="G34" s="11" t="inlineStr">
        <is>
          <t>Pooling</t>
        </is>
      </c>
      <c r="H34" s="11" t="n"/>
      <c r="I34" s="11" t="n"/>
      <c r="J34" s="11" t="n"/>
      <c r="K34" s="11" t="n"/>
      <c r="L34" s="11" t="n"/>
      <c r="M34" s="11" t="n"/>
      <c r="N34" s="11" t="n"/>
      <c r="O34" s="12" t="n"/>
      <c r="P34" s="11" t="n"/>
      <c r="Q34" s="19">
        <f>IF(C34="","",IF(OR(AND('Set the table'!$C$4="Yes",ISNUMBER(SEARCH("A",P34))),AND('Set the table'!$C$5="Yes",ISNUMBER(SEARCH("B",P34))),AND('Set the table'!$C$6="Yes",ISNUMBER(SEARCH("C",P34))),AND('Set the table'!$C$7="Yes",ISNUMBER(SEARCH("D",P34)))),"Yes",""))</f>
        <v/>
      </c>
      <c r="R34" s="19">
        <f>IF(AND(Q34="Yes",OR(D34="",E34="",F34="")),"Gap","")</f>
        <v/>
      </c>
      <c r="S34" s="19">
        <f>IF(C34="","",IF(OR(F34="Watch",F34="Problem",F34="Unknown"),"Yes",""))</f>
        <v/>
      </c>
      <c r="T34" s="19">
        <f>IF(S34="","",IFERROR(VLOOKUP(L34,Lists!$F$2:$G$5,2,0),1))</f>
        <v/>
      </c>
      <c r="U34" s="19">
        <f>IF(AND(S34="Yes",ISNUMBER(J34),ISNUMBER(K34)),ABS(K34-J34)*T34,"")</f>
        <v/>
      </c>
      <c r="V34" s="19">
        <f>IF(AND(C34&lt;&gt;"",ISNUMBER(I34)),IFERROR(VLOOKUP(G34,Lists!$C$2:$D$12,2,0),"other"),"")</f>
        <v/>
      </c>
      <c r="W34" s="19">
        <f>IF(S34="Yes",IF(ISNUMBER(U34),U34,-1)-ROW()/100000,"")</f>
        <v/>
      </c>
      <c r="X34" s="19">
        <f>IF(AND(C34&lt;&gt;"",OR(F34="Problem",F34="Watch")),ROW()-3,"")</f>
        <v/>
      </c>
      <c r="Y34" s="19">
        <f>IF(AND(C34&lt;&gt;"",F34="Unknown"),ROW()-3,"")</f>
        <v/>
      </c>
      <c r="Z34" s="19">
        <f>IF(AND(C34&lt;&gt;"",F34="Problem"),ROW()-3,"")</f>
        <v/>
      </c>
    </row>
    <row r="35">
      <c r="A35" s="11" t="n">
        <v>32</v>
      </c>
      <c r="B35" s="11" t="inlineStr">
        <is>
          <t>Supply</t>
        </is>
      </c>
      <c r="C35" s="12" t="inlineStr">
        <is>
          <t>Attrition and backfill lead time</t>
        </is>
      </c>
      <c r="D35" s="12" t="n"/>
      <c r="E35" s="12" t="n"/>
      <c r="F35" s="11" t="n"/>
      <c r="G35" s="11" t="inlineStr">
        <is>
          <t>Attrition</t>
        </is>
      </c>
      <c r="H35" s="11" t="n"/>
      <c r="I35" s="11" t="n"/>
      <c r="J35" s="11" t="n"/>
      <c r="K35" s="11" t="n"/>
      <c r="L35" s="11" t="n"/>
      <c r="M35" s="11" t="n"/>
      <c r="N35" s="11" t="n"/>
      <c r="O35" s="12" t="n"/>
      <c r="P35" s="11" t="n"/>
      <c r="Q35" s="19">
        <f>IF(C35="","",IF(OR(AND('Set the table'!$C$4="Yes",ISNUMBER(SEARCH("A",P35))),AND('Set the table'!$C$5="Yes",ISNUMBER(SEARCH("B",P35))),AND('Set the table'!$C$6="Yes",ISNUMBER(SEARCH("C",P35))),AND('Set the table'!$C$7="Yes",ISNUMBER(SEARCH("D",P35)))),"Yes",""))</f>
        <v/>
      </c>
      <c r="R35" s="19">
        <f>IF(AND(Q35="Yes",OR(D35="",E35="",F35="")),"Gap","")</f>
        <v/>
      </c>
      <c r="S35" s="19">
        <f>IF(C35="","",IF(OR(F35="Watch",F35="Problem",F35="Unknown"),"Yes",""))</f>
        <v/>
      </c>
      <c r="T35" s="19">
        <f>IF(S35="","",IFERROR(VLOOKUP(L35,Lists!$F$2:$G$5,2,0),1))</f>
        <v/>
      </c>
      <c r="U35" s="19">
        <f>IF(AND(S35="Yes",ISNUMBER(J35),ISNUMBER(K35)),ABS(K35-J35)*T35,"")</f>
        <v/>
      </c>
      <c r="V35" s="19">
        <f>IF(AND(C35&lt;&gt;"",ISNUMBER(I35)),IFERROR(VLOOKUP(G35,Lists!$C$2:$D$12,2,0),"other"),"")</f>
        <v/>
      </c>
      <c r="W35" s="19">
        <f>IF(S35="Yes",IF(ISNUMBER(U35),U35,-1)-ROW()/100000,"")</f>
        <v/>
      </c>
      <c r="X35" s="19">
        <f>IF(AND(C35&lt;&gt;"",OR(F35="Problem",F35="Watch")),ROW()-3,"")</f>
        <v/>
      </c>
      <c r="Y35" s="19">
        <f>IF(AND(C35&lt;&gt;"",F35="Unknown"),ROW()-3,"")</f>
        <v/>
      </c>
      <c r="Z35" s="19">
        <f>IF(AND(C35&lt;&gt;"",F35="Problem"),ROW()-3,"")</f>
        <v/>
      </c>
    </row>
    <row r="36">
      <c r="A36" s="11" t="n">
        <v>33</v>
      </c>
      <c r="B36" s="11" t="inlineStr">
        <is>
          <t>Supply</t>
        </is>
      </c>
      <c r="C36" s="12" t="inlineStr">
        <is>
          <t>Eligibility, notice periods and transfer law (people moving)</t>
        </is>
      </c>
      <c r="D36" s="12" t="n"/>
      <c r="E36" s="12" t="n"/>
      <c r="F36" s="11" t="n"/>
      <c r="G36" s="11" t="inlineStr">
        <is>
          <t>Supply timing</t>
        </is>
      </c>
      <c r="H36" s="11" t="n"/>
      <c r="I36" s="11" t="n"/>
      <c r="J36" s="11" t="n"/>
      <c r="K36" s="11" t="n"/>
      <c r="L36" s="11" t="n"/>
      <c r="M36" s="11" t="n"/>
      <c r="N36" s="11" t="n"/>
      <c r="O36" s="12" t="n"/>
      <c r="P36" s="11" t="inlineStr">
        <is>
          <t>D</t>
        </is>
      </c>
      <c r="Q36" s="19">
        <f>IF(C36="","",IF(OR(AND('Set the table'!$C$4="Yes",ISNUMBER(SEARCH("A",P36))),AND('Set the table'!$C$5="Yes",ISNUMBER(SEARCH("B",P36))),AND('Set the table'!$C$6="Yes",ISNUMBER(SEARCH("C",P36))),AND('Set the table'!$C$7="Yes",ISNUMBER(SEARCH("D",P36)))),"Yes",""))</f>
        <v/>
      </c>
      <c r="R36" s="19">
        <f>IF(AND(Q36="Yes",OR(D36="",E36="",F36="")),"Gap","")</f>
        <v/>
      </c>
      <c r="S36" s="19">
        <f>IF(C36="","",IF(OR(F36="Watch",F36="Problem",F36="Unknown"),"Yes",""))</f>
        <v/>
      </c>
      <c r="T36" s="19">
        <f>IF(S36="","",IFERROR(VLOOKUP(L36,Lists!$F$2:$G$5,2,0),1))</f>
        <v/>
      </c>
      <c r="U36" s="19">
        <f>IF(AND(S36="Yes",ISNUMBER(J36),ISNUMBER(K36)),ABS(K36-J36)*T36,"")</f>
        <v/>
      </c>
      <c r="V36" s="19">
        <f>IF(AND(C36&lt;&gt;"",ISNUMBER(I36)),IFERROR(VLOOKUP(G36,Lists!$C$2:$D$12,2,0),"other"),"")</f>
        <v/>
      </c>
      <c r="W36" s="19">
        <f>IF(S36="Yes",IF(ISNUMBER(U36),U36,-1)-ROW()/100000,"")</f>
        <v/>
      </c>
      <c r="X36" s="19">
        <f>IF(AND(C36&lt;&gt;"",OR(F36="Problem",F36="Watch")),ROW()-3,"")</f>
        <v/>
      </c>
      <c r="Y36" s="19">
        <f>IF(AND(C36&lt;&gt;"",F36="Unknown"),ROW()-3,"")</f>
        <v/>
      </c>
      <c r="Z36" s="19">
        <f>IF(AND(C36&lt;&gt;"",F36="Problem"),ROW()-3,"")</f>
        <v/>
      </c>
    </row>
    <row r="37">
      <c r="A37" s="11" t="n">
        <v>34</v>
      </c>
      <c r="B37" s="11" t="inlineStr">
        <is>
          <t>Governance</t>
        </is>
      </c>
      <c r="C37" s="12" t="inlineStr">
        <is>
          <t>Who has told the client what will change</t>
        </is>
      </c>
      <c r="D37" s="12" t="n"/>
      <c r="E37" s="12" t="n"/>
      <c r="F37" s="11" t="n"/>
      <c r="G37" s="11" t="inlineStr">
        <is>
          <t>CPT / volume</t>
        </is>
      </c>
      <c r="H37" s="11" t="n"/>
      <c r="I37" s="11" t="n"/>
      <c r="J37" s="11" t="n"/>
      <c r="K37" s="11" t="n"/>
      <c r="L37" s="11" t="n"/>
      <c r="M37" s="11" t="n"/>
      <c r="N37" s="11" t="n"/>
      <c r="O37" s="12" t="n"/>
      <c r="P37" s="11" t="n"/>
      <c r="Q37" s="19">
        <f>IF(C37="","",IF(OR(AND('Set the table'!$C$4="Yes",ISNUMBER(SEARCH("A",P37))),AND('Set the table'!$C$5="Yes",ISNUMBER(SEARCH("B",P37))),AND('Set the table'!$C$6="Yes",ISNUMBER(SEARCH("C",P37))),AND('Set the table'!$C$7="Yes",ISNUMBER(SEARCH("D",P37)))),"Yes",""))</f>
        <v/>
      </c>
      <c r="R37" s="19">
        <f>IF(AND(Q37="Yes",OR(D37="",E37="",F37="")),"Gap","")</f>
        <v/>
      </c>
      <c r="S37" s="19">
        <f>IF(C37="","",IF(OR(F37="Watch",F37="Problem",F37="Unknown"),"Yes",""))</f>
        <v/>
      </c>
      <c r="T37" s="19">
        <f>IF(S37="","",IFERROR(VLOOKUP(L37,Lists!$F$2:$G$5,2,0),1))</f>
        <v/>
      </c>
      <c r="U37" s="19">
        <f>IF(AND(S37="Yes",ISNUMBER(J37),ISNUMBER(K37)),ABS(K37-J37)*T37,"")</f>
        <v/>
      </c>
      <c r="V37" s="19">
        <f>IF(AND(C37&lt;&gt;"",ISNUMBER(I37)),IFERROR(VLOOKUP(G37,Lists!$C$2:$D$12,2,0),"other"),"")</f>
        <v/>
      </c>
      <c r="W37" s="19">
        <f>IF(S37="Yes",IF(ISNUMBER(U37),U37,-1)-ROW()/100000,"")</f>
        <v/>
      </c>
      <c r="X37" s="19">
        <f>IF(AND(C37&lt;&gt;"",OR(F37="Problem",F37="Watch")),ROW()-3,"")</f>
        <v/>
      </c>
      <c r="Y37" s="19">
        <f>IF(AND(C37&lt;&gt;"",F37="Unknown"),ROW()-3,"")</f>
        <v/>
      </c>
      <c r="Z37" s="19">
        <f>IF(AND(C37&lt;&gt;"",F37="Problem"),ROW()-3,"")</f>
        <v/>
      </c>
    </row>
    <row r="38">
      <c r="A38" s="11" t="n">
        <v>35</v>
      </c>
      <c r="B38" s="11" t="inlineStr">
        <is>
          <t>Governance</t>
        </is>
      </c>
      <c r="C38" s="12" t="inlineStr">
        <is>
          <t>Incoming plan laid against the outgoing plan before go-live</t>
        </is>
      </c>
      <c r="D38" s="12" t="n"/>
      <c r="E38" s="12" t="n"/>
      <c r="F38" s="11" t="n"/>
      <c r="G38" s="11" t="inlineStr">
        <is>
          <t>Several</t>
        </is>
      </c>
      <c r="H38" s="11" t="n"/>
      <c r="I38" s="11" t="n"/>
      <c r="J38" s="11" t="n"/>
      <c r="K38" s="11" t="n"/>
      <c r="L38" s="11" t="n"/>
      <c r="M38" s="11" t="n"/>
      <c r="N38" s="11" t="n"/>
      <c r="O38" s="12" t="n"/>
      <c r="P38" s="11" t="inlineStr">
        <is>
          <t>ABCD</t>
        </is>
      </c>
      <c r="Q38" s="19">
        <f>IF(C38="","",IF(OR(AND('Set the table'!$C$4="Yes",ISNUMBER(SEARCH("A",P38))),AND('Set the table'!$C$5="Yes",ISNUMBER(SEARCH("B",P38))),AND('Set the table'!$C$6="Yes",ISNUMBER(SEARCH("C",P38))),AND('Set the table'!$C$7="Yes",ISNUMBER(SEARCH("D",P38)))),"Yes",""))</f>
        <v/>
      </c>
      <c r="R38" s="19">
        <f>IF(AND(Q38="Yes",OR(D38="",E38="",F38="")),"Gap","")</f>
        <v/>
      </c>
      <c r="S38" s="19">
        <f>IF(C38="","",IF(OR(F38="Watch",F38="Problem",F38="Unknown"),"Yes",""))</f>
        <v/>
      </c>
      <c r="T38" s="19">
        <f>IF(S38="","",IFERROR(VLOOKUP(L38,Lists!$F$2:$G$5,2,0),1))</f>
        <v/>
      </c>
      <c r="U38" s="19">
        <f>IF(AND(S38="Yes",ISNUMBER(J38),ISNUMBER(K38)),ABS(K38-J38)*T38,"")</f>
        <v/>
      </c>
      <c r="V38" s="19">
        <f>IF(AND(C38&lt;&gt;"",ISNUMBER(I38)),IFERROR(VLOOKUP(G38,Lists!$C$2:$D$12,2,0),"other"),"")</f>
        <v/>
      </c>
      <c r="W38" s="19">
        <f>IF(S38="Yes",IF(ISNUMBER(U38),U38,-1)-ROW()/100000,"")</f>
        <v/>
      </c>
      <c r="X38" s="19">
        <f>IF(AND(C38&lt;&gt;"",OR(F38="Problem",F38="Watch")),ROW()-3,"")</f>
        <v/>
      </c>
      <c r="Y38" s="19">
        <f>IF(AND(C38&lt;&gt;"",F38="Unknown"),ROW()-3,"")</f>
        <v/>
      </c>
      <c r="Z38" s="19">
        <f>IF(AND(C38&lt;&gt;"",F38="Problem"),ROW()-3,"")</f>
        <v/>
      </c>
    </row>
    <row r="39">
      <c r="A39" s="11" t="n">
        <v>36</v>
      </c>
      <c r="B39" s="11" t="inlineStr">
        <is>
          <t>Governance</t>
        </is>
      </c>
      <c r="C39" s="12" t="inlineStr">
        <is>
          <t>Buffer for other clients in the same wave</t>
        </is>
      </c>
      <c r="D39" s="12" t="n"/>
      <c r="E39" s="12" t="n"/>
      <c r="F39" s="11" t="n"/>
      <c r="G39" s="11" t="inlineStr">
        <is>
          <t>Supply timing</t>
        </is>
      </c>
      <c r="H39" s="11" t="n"/>
      <c r="I39" s="11" t="n"/>
      <c r="J39" s="11" t="n"/>
      <c r="K39" s="11" t="n"/>
      <c r="L39" s="11" t="n"/>
      <c r="M39" s="11" t="n"/>
      <c r="N39" s="11" t="n"/>
      <c r="O39" s="12" t="n"/>
      <c r="P39" s="11" t="n"/>
      <c r="Q39" s="19">
        <f>IF(C39="","",IF(OR(AND('Set the table'!$C$4="Yes",ISNUMBER(SEARCH("A",P39))),AND('Set the table'!$C$5="Yes",ISNUMBER(SEARCH("B",P39))),AND('Set the table'!$C$6="Yes",ISNUMBER(SEARCH("C",P39))),AND('Set the table'!$C$7="Yes",ISNUMBER(SEARCH("D",P39)))),"Yes",""))</f>
        <v/>
      </c>
      <c r="R39" s="19">
        <f>IF(AND(Q39="Yes",OR(D39="",E39="",F39="")),"Gap","")</f>
        <v/>
      </c>
      <c r="S39" s="19">
        <f>IF(C39="","",IF(OR(F39="Watch",F39="Problem",F39="Unknown"),"Yes",""))</f>
        <v/>
      </c>
      <c r="T39" s="19">
        <f>IF(S39="","",IFERROR(VLOOKUP(L39,Lists!$F$2:$G$5,2,0),1))</f>
        <v/>
      </c>
      <c r="U39" s="19">
        <f>IF(AND(S39="Yes",ISNUMBER(J39),ISNUMBER(K39)),ABS(K39-J39)*T39,"")</f>
        <v/>
      </c>
      <c r="V39" s="19">
        <f>IF(AND(C39&lt;&gt;"",ISNUMBER(I39)),IFERROR(VLOOKUP(G39,Lists!$C$2:$D$12,2,0),"other"),"")</f>
        <v/>
      </c>
      <c r="W39" s="19">
        <f>IF(S39="Yes",IF(ISNUMBER(U39),U39,-1)-ROW()/100000,"")</f>
        <v/>
      </c>
      <c r="X39" s="19">
        <f>IF(AND(C39&lt;&gt;"",OR(F39="Problem",F39="Watch")),ROW()-3,"")</f>
        <v/>
      </c>
      <c r="Y39" s="19">
        <f>IF(AND(C39&lt;&gt;"",F39="Unknown"),ROW()-3,"")</f>
        <v/>
      </c>
      <c r="Z39" s="19">
        <f>IF(AND(C39&lt;&gt;"",F39="Problem"),ROW()-3,"")</f>
        <v/>
      </c>
    </row>
    <row r="40">
      <c r="A40" s="11" t="n">
        <v>37</v>
      </c>
      <c r="B40" s="11" t="n"/>
      <c r="C40" s="12" t="n"/>
      <c r="D40" s="12" t="n"/>
      <c r="E40" s="12" t="n"/>
      <c r="F40" s="11" t="n"/>
      <c r="G40" s="11" t="n"/>
      <c r="H40" s="11" t="n"/>
      <c r="I40" s="11" t="n"/>
      <c r="J40" s="11" t="n"/>
      <c r="K40" s="11" t="n"/>
      <c r="L40" s="11" t="n"/>
      <c r="M40" s="11" t="n"/>
      <c r="N40" s="11" t="n"/>
      <c r="O40" s="12" t="n"/>
      <c r="P40" s="11" t="n"/>
      <c r="Q40" s="19">
        <f>IF(C40="","",IF(OR(AND('Set the table'!$C$4="Yes",ISNUMBER(SEARCH("A",P40))),AND('Set the table'!$C$5="Yes",ISNUMBER(SEARCH("B",P40))),AND('Set the table'!$C$6="Yes",ISNUMBER(SEARCH("C",P40))),AND('Set the table'!$C$7="Yes",ISNUMBER(SEARCH("D",P40)))),"Yes",""))</f>
        <v/>
      </c>
      <c r="R40" s="19">
        <f>IF(AND(Q40="Yes",OR(D40="",E40="",F40="")),"Gap","")</f>
        <v/>
      </c>
      <c r="S40" s="19">
        <f>IF(C40="","",IF(OR(F40="Watch",F40="Problem",F40="Unknown"),"Yes",""))</f>
        <v/>
      </c>
      <c r="T40" s="19">
        <f>IF(S40="","",IFERROR(VLOOKUP(L40,Lists!$F$2:$G$5,2,0),1))</f>
        <v/>
      </c>
      <c r="U40" s="19">
        <f>IF(AND(S40="Yes",ISNUMBER(J40),ISNUMBER(K40)),ABS(K40-J40)*T40,"")</f>
        <v/>
      </c>
      <c r="V40" s="19">
        <f>IF(AND(C40&lt;&gt;"",ISNUMBER(I40)),IFERROR(VLOOKUP(G40,Lists!$C$2:$D$12,2,0),"other"),"")</f>
        <v/>
      </c>
      <c r="W40" s="19">
        <f>IF(S40="Yes",IF(ISNUMBER(U40),U40,-1)-ROW()/100000,"")</f>
        <v/>
      </c>
      <c r="X40" s="19">
        <f>IF(AND(C40&lt;&gt;"",OR(F40="Problem",F40="Watch")),ROW()-3,"")</f>
        <v/>
      </c>
      <c r="Y40" s="19">
        <f>IF(AND(C40&lt;&gt;"",F40="Unknown"),ROW()-3,"")</f>
        <v/>
      </c>
      <c r="Z40" s="19">
        <f>IF(AND(C40&lt;&gt;"",F40="Problem"),ROW()-3,"")</f>
        <v/>
      </c>
    </row>
    <row r="41">
      <c r="A41" s="11" t="n">
        <v>38</v>
      </c>
      <c r="B41" s="11" t="n"/>
      <c r="C41" s="12" t="n"/>
      <c r="D41" s="12" t="n"/>
      <c r="E41" s="12" t="n"/>
      <c r="F41" s="11" t="n"/>
      <c r="G41" s="11" t="n"/>
      <c r="H41" s="11" t="n"/>
      <c r="I41" s="11" t="n"/>
      <c r="J41" s="11" t="n"/>
      <c r="K41" s="11" t="n"/>
      <c r="L41" s="11" t="n"/>
      <c r="M41" s="11" t="n"/>
      <c r="N41" s="11" t="n"/>
      <c r="O41" s="12" t="n"/>
      <c r="P41" s="11" t="n"/>
      <c r="Q41" s="19">
        <f>IF(C41="","",IF(OR(AND('Set the table'!$C$4="Yes",ISNUMBER(SEARCH("A",P41))),AND('Set the table'!$C$5="Yes",ISNUMBER(SEARCH("B",P41))),AND('Set the table'!$C$6="Yes",ISNUMBER(SEARCH("C",P41))),AND('Set the table'!$C$7="Yes",ISNUMBER(SEARCH("D",P41)))),"Yes",""))</f>
        <v/>
      </c>
      <c r="R41" s="19">
        <f>IF(AND(Q41="Yes",OR(D41="",E41="",F41="")),"Gap","")</f>
        <v/>
      </c>
      <c r="S41" s="19">
        <f>IF(C41="","",IF(OR(F41="Watch",F41="Problem",F41="Unknown"),"Yes",""))</f>
        <v/>
      </c>
      <c r="T41" s="19">
        <f>IF(S41="","",IFERROR(VLOOKUP(L41,Lists!$F$2:$G$5,2,0),1))</f>
        <v/>
      </c>
      <c r="U41" s="19">
        <f>IF(AND(S41="Yes",ISNUMBER(J41),ISNUMBER(K41)),ABS(K41-J41)*T41,"")</f>
        <v/>
      </c>
      <c r="V41" s="19">
        <f>IF(AND(C41&lt;&gt;"",ISNUMBER(I41)),IFERROR(VLOOKUP(G41,Lists!$C$2:$D$12,2,0),"other"),"")</f>
        <v/>
      </c>
      <c r="W41" s="19">
        <f>IF(S41="Yes",IF(ISNUMBER(U41),U41,-1)-ROW()/100000,"")</f>
        <v/>
      </c>
      <c r="X41" s="19">
        <f>IF(AND(C41&lt;&gt;"",OR(F41="Problem",F41="Watch")),ROW()-3,"")</f>
        <v/>
      </c>
      <c r="Y41" s="19">
        <f>IF(AND(C41&lt;&gt;"",F41="Unknown"),ROW()-3,"")</f>
        <v/>
      </c>
      <c r="Z41" s="19">
        <f>IF(AND(C41&lt;&gt;"",F41="Problem"),ROW()-3,"")</f>
        <v/>
      </c>
    </row>
    <row r="42">
      <c r="A42" s="11" t="n">
        <v>39</v>
      </c>
      <c r="B42" s="11" t="n"/>
      <c r="C42" s="12" t="n"/>
      <c r="D42" s="12" t="n"/>
      <c r="E42" s="12" t="n"/>
      <c r="F42" s="11" t="n"/>
      <c r="G42" s="11" t="n"/>
      <c r="H42" s="11" t="n"/>
      <c r="I42" s="11" t="n"/>
      <c r="J42" s="11" t="n"/>
      <c r="K42" s="11" t="n"/>
      <c r="L42" s="11" t="n"/>
      <c r="M42" s="11" t="n"/>
      <c r="N42" s="11" t="n"/>
      <c r="O42" s="12" t="n"/>
      <c r="P42" s="11" t="n"/>
      <c r="Q42" s="19">
        <f>IF(C42="","",IF(OR(AND('Set the table'!$C$4="Yes",ISNUMBER(SEARCH("A",P42))),AND('Set the table'!$C$5="Yes",ISNUMBER(SEARCH("B",P42))),AND('Set the table'!$C$6="Yes",ISNUMBER(SEARCH("C",P42))),AND('Set the table'!$C$7="Yes",ISNUMBER(SEARCH("D",P42)))),"Yes",""))</f>
        <v/>
      </c>
      <c r="R42" s="19">
        <f>IF(AND(Q42="Yes",OR(D42="",E42="",F42="")),"Gap","")</f>
        <v/>
      </c>
      <c r="S42" s="19">
        <f>IF(C42="","",IF(OR(F42="Watch",F42="Problem",F42="Unknown"),"Yes",""))</f>
        <v/>
      </c>
      <c r="T42" s="19">
        <f>IF(S42="","",IFERROR(VLOOKUP(L42,Lists!$F$2:$G$5,2,0),1))</f>
        <v/>
      </c>
      <c r="U42" s="19">
        <f>IF(AND(S42="Yes",ISNUMBER(J42),ISNUMBER(K42)),ABS(K42-J42)*T42,"")</f>
        <v/>
      </c>
      <c r="V42" s="19">
        <f>IF(AND(C42&lt;&gt;"",ISNUMBER(I42)),IFERROR(VLOOKUP(G42,Lists!$C$2:$D$12,2,0),"other"),"")</f>
        <v/>
      </c>
      <c r="W42" s="19">
        <f>IF(S42="Yes",IF(ISNUMBER(U42),U42,-1)-ROW()/100000,"")</f>
        <v/>
      </c>
      <c r="X42" s="19">
        <f>IF(AND(C42&lt;&gt;"",OR(F42="Problem",F42="Watch")),ROW()-3,"")</f>
        <v/>
      </c>
      <c r="Y42" s="19">
        <f>IF(AND(C42&lt;&gt;"",F42="Unknown"),ROW()-3,"")</f>
        <v/>
      </c>
      <c r="Z42" s="19">
        <f>IF(AND(C42&lt;&gt;"",F42="Problem"),ROW()-3,"")</f>
        <v/>
      </c>
    </row>
    <row r="43">
      <c r="A43" s="11" t="n">
        <v>40</v>
      </c>
      <c r="B43" s="11" t="n"/>
      <c r="C43" s="12" t="n"/>
      <c r="D43" s="12" t="n"/>
      <c r="E43" s="12" t="n"/>
      <c r="F43" s="11" t="n"/>
      <c r="G43" s="11" t="n"/>
      <c r="H43" s="11" t="n"/>
      <c r="I43" s="11" t="n"/>
      <c r="J43" s="11" t="n"/>
      <c r="K43" s="11" t="n"/>
      <c r="L43" s="11" t="n"/>
      <c r="M43" s="11" t="n"/>
      <c r="N43" s="11" t="n"/>
      <c r="O43" s="12" t="n"/>
      <c r="P43" s="11" t="n"/>
      <c r="Q43" s="19">
        <f>IF(C43="","",IF(OR(AND('Set the table'!$C$4="Yes",ISNUMBER(SEARCH("A",P43))),AND('Set the table'!$C$5="Yes",ISNUMBER(SEARCH("B",P43))),AND('Set the table'!$C$6="Yes",ISNUMBER(SEARCH("C",P43))),AND('Set the table'!$C$7="Yes",ISNUMBER(SEARCH("D",P43)))),"Yes",""))</f>
        <v/>
      </c>
      <c r="R43" s="19">
        <f>IF(AND(Q43="Yes",OR(D43="",E43="",F43="")),"Gap","")</f>
        <v/>
      </c>
      <c r="S43" s="19">
        <f>IF(C43="","",IF(OR(F43="Watch",F43="Problem",F43="Unknown"),"Yes",""))</f>
        <v/>
      </c>
      <c r="T43" s="19">
        <f>IF(S43="","",IFERROR(VLOOKUP(L43,Lists!$F$2:$G$5,2,0),1))</f>
        <v/>
      </c>
      <c r="U43" s="19">
        <f>IF(AND(S43="Yes",ISNUMBER(J43),ISNUMBER(K43)),ABS(K43-J43)*T43,"")</f>
        <v/>
      </c>
      <c r="V43" s="19">
        <f>IF(AND(C43&lt;&gt;"",ISNUMBER(I43)),IFERROR(VLOOKUP(G43,Lists!$C$2:$D$12,2,0),"other"),"")</f>
        <v/>
      </c>
      <c r="W43" s="19">
        <f>IF(S43="Yes",IF(ISNUMBER(U43),U43,-1)-ROW()/100000,"")</f>
        <v/>
      </c>
      <c r="X43" s="19">
        <f>IF(AND(C43&lt;&gt;"",OR(F43="Problem",F43="Watch")),ROW()-3,"")</f>
        <v/>
      </c>
      <c r="Y43" s="19">
        <f>IF(AND(C43&lt;&gt;"",F43="Unknown"),ROW()-3,"")</f>
        <v/>
      </c>
      <c r="Z43" s="19">
        <f>IF(AND(C43&lt;&gt;"",F43="Problem"),ROW()-3,"")</f>
        <v/>
      </c>
    </row>
    <row r="44">
      <c r="A44" s="11" t="n">
        <v>41</v>
      </c>
      <c r="B44" s="11" t="n"/>
      <c r="C44" s="12" t="n"/>
      <c r="D44" s="12" t="n"/>
      <c r="E44" s="12" t="n"/>
      <c r="F44" s="11" t="n"/>
      <c r="G44" s="11" t="n"/>
      <c r="H44" s="11" t="n"/>
      <c r="I44" s="11" t="n"/>
      <c r="J44" s="11" t="n"/>
      <c r="K44" s="11" t="n"/>
      <c r="L44" s="11" t="n"/>
      <c r="M44" s="11" t="n"/>
      <c r="N44" s="11" t="n"/>
      <c r="O44" s="12" t="n"/>
      <c r="P44" s="11" t="n"/>
      <c r="Q44" s="19">
        <f>IF(C44="","",IF(OR(AND('Set the table'!$C$4="Yes",ISNUMBER(SEARCH("A",P44))),AND('Set the table'!$C$5="Yes",ISNUMBER(SEARCH("B",P44))),AND('Set the table'!$C$6="Yes",ISNUMBER(SEARCH("C",P44))),AND('Set the table'!$C$7="Yes",ISNUMBER(SEARCH("D",P44)))),"Yes",""))</f>
        <v/>
      </c>
      <c r="R44" s="19">
        <f>IF(AND(Q44="Yes",OR(D44="",E44="",F44="")),"Gap","")</f>
        <v/>
      </c>
      <c r="S44" s="19">
        <f>IF(C44="","",IF(OR(F44="Watch",F44="Problem",F44="Unknown"),"Yes",""))</f>
        <v/>
      </c>
      <c r="T44" s="19">
        <f>IF(S44="","",IFERROR(VLOOKUP(L44,Lists!$F$2:$G$5,2,0),1))</f>
        <v/>
      </c>
      <c r="U44" s="19">
        <f>IF(AND(S44="Yes",ISNUMBER(J44),ISNUMBER(K44)),ABS(K44-J44)*T44,"")</f>
        <v/>
      </c>
      <c r="V44" s="19">
        <f>IF(AND(C44&lt;&gt;"",ISNUMBER(I44)),IFERROR(VLOOKUP(G44,Lists!$C$2:$D$12,2,0),"other"),"")</f>
        <v/>
      </c>
      <c r="W44" s="19">
        <f>IF(S44="Yes",IF(ISNUMBER(U44),U44,-1)-ROW()/100000,"")</f>
        <v/>
      </c>
      <c r="X44" s="19">
        <f>IF(AND(C44&lt;&gt;"",OR(F44="Problem",F44="Watch")),ROW()-3,"")</f>
        <v/>
      </c>
      <c r="Y44" s="19">
        <f>IF(AND(C44&lt;&gt;"",F44="Unknown"),ROW()-3,"")</f>
        <v/>
      </c>
      <c r="Z44" s="19">
        <f>IF(AND(C44&lt;&gt;"",F44="Problem"),ROW()-3,"")</f>
        <v/>
      </c>
    </row>
    <row r="45">
      <c r="A45" s="11" t="n">
        <v>42</v>
      </c>
      <c r="B45" s="11" t="n"/>
      <c r="C45" s="12" t="n"/>
      <c r="D45" s="12" t="n"/>
      <c r="E45" s="12" t="n"/>
      <c r="F45" s="11" t="n"/>
      <c r="G45" s="11" t="n"/>
      <c r="H45" s="11" t="n"/>
      <c r="I45" s="11" t="n"/>
      <c r="J45" s="11" t="n"/>
      <c r="K45" s="11" t="n"/>
      <c r="L45" s="11" t="n"/>
      <c r="M45" s="11" t="n"/>
      <c r="N45" s="11" t="n"/>
      <c r="O45" s="12" t="n"/>
      <c r="P45" s="11" t="n"/>
      <c r="Q45" s="19">
        <f>IF(C45="","",IF(OR(AND('Set the table'!$C$4="Yes",ISNUMBER(SEARCH("A",P45))),AND('Set the table'!$C$5="Yes",ISNUMBER(SEARCH("B",P45))),AND('Set the table'!$C$6="Yes",ISNUMBER(SEARCH("C",P45))),AND('Set the table'!$C$7="Yes",ISNUMBER(SEARCH("D",P45)))),"Yes",""))</f>
        <v/>
      </c>
      <c r="R45" s="19">
        <f>IF(AND(Q45="Yes",OR(D45="",E45="",F45="")),"Gap","")</f>
        <v/>
      </c>
      <c r="S45" s="19">
        <f>IF(C45="","",IF(OR(F45="Watch",F45="Problem",F45="Unknown"),"Yes",""))</f>
        <v/>
      </c>
      <c r="T45" s="19">
        <f>IF(S45="","",IFERROR(VLOOKUP(L45,Lists!$F$2:$G$5,2,0),1))</f>
        <v/>
      </c>
      <c r="U45" s="19">
        <f>IF(AND(S45="Yes",ISNUMBER(J45),ISNUMBER(K45)),ABS(K45-J45)*T45,"")</f>
        <v/>
      </c>
      <c r="V45" s="19">
        <f>IF(AND(C45&lt;&gt;"",ISNUMBER(I45)),IFERROR(VLOOKUP(G45,Lists!$C$2:$D$12,2,0),"other"),"")</f>
        <v/>
      </c>
      <c r="W45" s="19">
        <f>IF(S45="Yes",IF(ISNUMBER(U45),U45,-1)-ROW()/100000,"")</f>
        <v/>
      </c>
      <c r="X45" s="19">
        <f>IF(AND(C45&lt;&gt;"",OR(F45="Problem",F45="Watch")),ROW()-3,"")</f>
        <v/>
      </c>
      <c r="Y45" s="19">
        <f>IF(AND(C45&lt;&gt;"",F45="Unknown"),ROW()-3,"")</f>
        <v/>
      </c>
      <c r="Z45" s="19">
        <f>IF(AND(C45&lt;&gt;"",F45="Problem"),ROW()-3,"")</f>
        <v/>
      </c>
    </row>
    <row r="46">
      <c r="A46" s="11" t="n">
        <v>43</v>
      </c>
      <c r="B46" s="11" t="n"/>
      <c r="C46" s="12" t="n"/>
      <c r="D46" s="12" t="n"/>
      <c r="E46" s="12" t="n"/>
      <c r="F46" s="11" t="n"/>
      <c r="G46" s="11" t="n"/>
      <c r="H46" s="11" t="n"/>
      <c r="I46" s="11" t="n"/>
      <c r="J46" s="11" t="n"/>
      <c r="K46" s="11" t="n"/>
      <c r="L46" s="11" t="n"/>
      <c r="M46" s="11" t="n"/>
      <c r="N46" s="11" t="n"/>
      <c r="O46" s="12" t="n"/>
      <c r="P46" s="11" t="n"/>
      <c r="Q46" s="19">
        <f>IF(C46="","",IF(OR(AND('Set the table'!$C$4="Yes",ISNUMBER(SEARCH("A",P46))),AND('Set the table'!$C$5="Yes",ISNUMBER(SEARCH("B",P46))),AND('Set the table'!$C$6="Yes",ISNUMBER(SEARCH("C",P46))),AND('Set the table'!$C$7="Yes",ISNUMBER(SEARCH("D",P46)))),"Yes",""))</f>
        <v/>
      </c>
      <c r="R46" s="19">
        <f>IF(AND(Q46="Yes",OR(D46="",E46="",F46="")),"Gap","")</f>
        <v/>
      </c>
      <c r="S46" s="19">
        <f>IF(C46="","",IF(OR(F46="Watch",F46="Problem",F46="Unknown"),"Yes",""))</f>
        <v/>
      </c>
      <c r="T46" s="19">
        <f>IF(S46="","",IFERROR(VLOOKUP(L46,Lists!$F$2:$G$5,2,0),1))</f>
        <v/>
      </c>
      <c r="U46" s="19">
        <f>IF(AND(S46="Yes",ISNUMBER(J46),ISNUMBER(K46)),ABS(K46-J46)*T46,"")</f>
        <v/>
      </c>
      <c r="V46" s="19">
        <f>IF(AND(C46&lt;&gt;"",ISNUMBER(I46)),IFERROR(VLOOKUP(G46,Lists!$C$2:$D$12,2,0),"other"),"")</f>
        <v/>
      </c>
      <c r="W46" s="19">
        <f>IF(S46="Yes",IF(ISNUMBER(U46),U46,-1)-ROW()/100000,"")</f>
        <v/>
      </c>
      <c r="X46" s="19">
        <f>IF(AND(C46&lt;&gt;"",OR(F46="Problem",F46="Watch")),ROW()-3,"")</f>
        <v/>
      </c>
      <c r="Y46" s="19">
        <f>IF(AND(C46&lt;&gt;"",F46="Unknown"),ROW()-3,"")</f>
        <v/>
      </c>
      <c r="Z46" s="19">
        <f>IF(AND(C46&lt;&gt;"",F46="Problem"),ROW()-3,"")</f>
        <v/>
      </c>
    </row>
    <row r="47">
      <c r="A47" s="11" t="n">
        <v>44</v>
      </c>
      <c r="B47" s="11" t="n"/>
      <c r="C47" s="12" t="n"/>
      <c r="D47" s="12" t="n"/>
      <c r="E47" s="12" t="n"/>
      <c r="F47" s="11" t="n"/>
      <c r="G47" s="11" t="n"/>
      <c r="H47" s="11" t="n"/>
      <c r="I47" s="11" t="n"/>
      <c r="J47" s="11" t="n"/>
      <c r="K47" s="11" t="n"/>
      <c r="L47" s="11" t="n"/>
      <c r="M47" s="11" t="n"/>
      <c r="N47" s="11" t="n"/>
      <c r="O47" s="12" t="n"/>
      <c r="P47" s="11" t="n"/>
      <c r="Q47" s="19">
        <f>IF(C47="","",IF(OR(AND('Set the table'!$C$4="Yes",ISNUMBER(SEARCH("A",P47))),AND('Set the table'!$C$5="Yes",ISNUMBER(SEARCH("B",P47))),AND('Set the table'!$C$6="Yes",ISNUMBER(SEARCH("C",P47))),AND('Set the table'!$C$7="Yes",ISNUMBER(SEARCH("D",P47)))),"Yes",""))</f>
        <v/>
      </c>
      <c r="R47" s="19">
        <f>IF(AND(Q47="Yes",OR(D47="",E47="",F47="")),"Gap","")</f>
        <v/>
      </c>
      <c r="S47" s="19">
        <f>IF(C47="","",IF(OR(F47="Watch",F47="Problem",F47="Unknown"),"Yes",""))</f>
        <v/>
      </c>
      <c r="T47" s="19">
        <f>IF(S47="","",IFERROR(VLOOKUP(L47,Lists!$F$2:$G$5,2,0),1))</f>
        <v/>
      </c>
      <c r="U47" s="19">
        <f>IF(AND(S47="Yes",ISNUMBER(J47),ISNUMBER(K47)),ABS(K47-J47)*T47,"")</f>
        <v/>
      </c>
      <c r="V47" s="19">
        <f>IF(AND(C47&lt;&gt;"",ISNUMBER(I47)),IFERROR(VLOOKUP(G47,Lists!$C$2:$D$12,2,0),"other"),"")</f>
        <v/>
      </c>
      <c r="W47" s="19">
        <f>IF(S47="Yes",IF(ISNUMBER(U47),U47,-1)-ROW()/100000,"")</f>
        <v/>
      </c>
      <c r="X47" s="19">
        <f>IF(AND(C47&lt;&gt;"",OR(F47="Problem",F47="Watch")),ROW()-3,"")</f>
        <v/>
      </c>
      <c r="Y47" s="19">
        <f>IF(AND(C47&lt;&gt;"",F47="Unknown"),ROW()-3,"")</f>
        <v/>
      </c>
      <c r="Z47" s="19">
        <f>IF(AND(C47&lt;&gt;"",F47="Problem"),ROW()-3,"")</f>
        <v/>
      </c>
    </row>
    <row r="48">
      <c r="A48" s="11" t="n">
        <v>45</v>
      </c>
      <c r="B48" s="11" t="n"/>
      <c r="C48" s="12" t="n"/>
      <c r="D48" s="12" t="n"/>
      <c r="E48" s="12" t="n"/>
      <c r="F48" s="11" t="n"/>
      <c r="G48" s="11" t="n"/>
      <c r="H48" s="11" t="n"/>
      <c r="I48" s="11" t="n"/>
      <c r="J48" s="11" t="n"/>
      <c r="K48" s="11" t="n"/>
      <c r="L48" s="11" t="n"/>
      <c r="M48" s="11" t="n"/>
      <c r="N48" s="11" t="n"/>
      <c r="O48" s="12" t="n"/>
      <c r="P48" s="11" t="n"/>
      <c r="Q48" s="19">
        <f>IF(C48="","",IF(OR(AND('Set the table'!$C$4="Yes",ISNUMBER(SEARCH("A",P48))),AND('Set the table'!$C$5="Yes",ISNUMBER(SEARCH("B",P48))),AND('Set the table'!$C$6="Yes",ISNUMBER(SEARCH("C",P48))),AND('Set the table'!$C$7="Yes",ISNUMBER(SEARCH("D",P48)))),"Yes",""))</f>
        <v/>
      </c>
      <c r="R48" s="19">
        <f>IF(AND(Q48="Yes",OR(D48="",E48="",F48="")),"Gap","")</f>
        <v/>
      </c>
      <c r="S48" s="19">
        <f>IF(C48="","",IF(OR(F48="Watch",F48="Problem",F48="Unknown"),"Yes",""))</f>
        <v/>
      </c>
      <c r="T48" s="19">
        <f>IF(S48="","",IFERROR(VLOOKUP(L48,Lists!$F$2:$G$5,2,0),1))</f>
        <v/>
      </c>
      <c r="U48" s="19">
        <f>IF(AND(S48="Yes",ISNUMBER(J48),ISNUMBER(K48)),ABS(K48-J48)*T48,"")</f>
        <v/>
      </c>
      <c r="V48" s="19">
        <f>IF(AND(C48&lt;&gt;"",ISNUMBER(I48)),IFERROR(VLOOKUP(G48,Lists!$C$2:$D$12,2,0),"other"),"")</f>
        <v/>
      </c>
      <c r="W48" s="19">
        <f>IF(S48="Yes",IF(ISNUMBER(U48),U48,-1)-ROW()/100000,"")</f>
        <v/>
      </c>
      <c r="X48" s="19">
        <f>IF(AND(C48&lt;&gt;"",OR(F48="Problem",F48="Watch")),ROW()-3,"")</f>
        <v/>
      </c>
      <c r="Y48" s="19">
        <f>IF(AND(C48&lt;&gt;"",F48="Unknown"),ROW()-3,"")</f>
        <v/>
      </c>
      <c r="Z48" s="19">
        <f>IF(AND(C48&lt;&gt;"",F48="Problem"),ROW()-3,"")</f>
        <v/>
      </c>
    </row>
    <row r="49">
      <c r="A49" s="11" t="n">
        <v>46</v>
      </c>
      <c r="B49" s="11" t="n"/>
      <c r="C49" s="12" t="n"/>
      <c r="D49" s="12" t="n"/>
      <c r="E49" s="12" t="n"/>
      <c r="F49" s="11" t="n"/>
      <c r="G49" s="11" t="n"/>
      <c r="H49" s="11" t="n"/>
      <c r="I49" s="11" t="n"/>
      <c r="J49" s="11" t="n"/>
      <c r="K49" s="11" t="n"/>
      <c r="L49" s="11" t="n"/>
      <c r="M49" s="11" t="n"/>
      <c r="N49" s="11" t="n"/>
      <c r="O49" s="12" t="n"/>
      <c r="P49" s="11" t="n"/>
      <c r="Q49" s="19">
        <f>IF(C49="","",IF(OR(AND('Set the table'!$C$4="Yes",ISNUMBER(SEARCH("A",P49))),AND('Set the table'!$C$5="Yes",ISNUMBER(SEARCH("B",P49))),AND('Set the table'!$C$6="Yes",ISNUMBER(SEARCH("C",P49))),AND('Set the table'!$C$7="Yes",ISNUMBER(SEARCH("D",P49)))),"Yes",""))</f>
        <v/>
      </c>
      <c r="R49" s="19">
        <f>IF(AND(Q49="Yes",OR(D49="",E49="",F49="")),"Gap","")</f>
        <v/>
      </c>
      <c r="S49" s="19">
        <f>IF(C49="","",IF(OR(F49="Watch",F49="Problem",F49="Unknown"),"Yes",""))</f>
        <v/>
      </c>
      <c r="T49" s="19">
        <f>IF(S49="","",IFERROR(VLOOKUP(L49,Lists!$F$2:$G$5,2,0),1))</f>
        <v/>
      </c>
      <c r="U49" s="19">
        <f>IF(AND(S49="Yes",ISNUMBER(J49),ISNUMBER(K49)),ABS(K49-J49)*T49,"")</f>
        <v/>
      </c>
      <c r="V49" s="19">
        <f>IF(AND(C49&lt;&gt;"",ISNUMBER(I49)),IFERROR(VLOOKUP(G49,Lists!$C$2:$D$12,2,0),"other"),"")</f>
        <v/>
      </c>
      <c r="W49" s="19">
        <f>IF(S49="Yes",IF(ISNUMBER(U49),U49,-1)-ROW()/100000,"")</f>
        <v/>
      </c>
      <c r="X49" s="19">
        <f>IF(AND(C49&lt;&gt;"",OR(F49="Problem",F49="Watch")),ROW()-3,"")</f>
        <v/>
      </c>
      <c r="Y49" s="19">
        <f>IF(AND(C49&lt;&gt;"",F49="Unknown"),ROW()-3,"")</f>
        <v/>
      </c>
      <c r="Z49" s="19">
        <f>IF(AND(C49&lt;&gt;"",F49="Problem"),ROW()-3,"")</f>
        <v/>
      </c>
    </row>
    <row r="50">
      <c r="A50" s="11" t="n">
        <v>47</v>
      </c>
      <c r="B50" s="11" t="n"/>
      <c r="C50" s="12" t="n"/>
      <c r="D50" s="12" t="n"/>
      <c r="E50" s="12" t="n"/>
      <c r="F50" s="11" t="n"/>
      <c r="G50" s="11" t="n"/>
      <c r="H50" s="11" t="n"/>
      <c r="I50" s="11" t="n"/>
      <c r="J50" s="11" t="n"/>
      <c r="K50" s="11" t="n"/>
      <c r="L50" s="11" t="n"/>
      <c r="M50" s="11" t="n"/>
      <c r="N50" s="11" t="n"/>
      <c r="O50" s="12" t="n"/>
      <c r="P50" s="11" t="n"/>
      <c r="Q50" s="19">
        <f>IF(C50="","",IF(OR(AND('Set the table'!$C$4="Yes",ISNUMBER(SEARCH("A",P50))),AND('Set the table'!$C$5="Yes",ISNUMBER(SEARCH("B",P50))),AND('Set the table'!$C$6="Yes",ISNUMBER(SEARCH("C",P50))),AND('Set the table'!$C$7="Yes",ISNUMBER(SEARCH("D",P50)))),"Yes",""))</f>
        <v/>
      </c>
      <c r="R50" s="19">
        <f>IF(AND(Q50="Yes",OR(D50="",E50="",F50="")),"Gap","")</f>
        <v/>
      </c>
      <c r="S50" s="19">
        <f>IF(C50="","",IF(OR(F50="Watch",F50="Problem",F50="Unknown"),"Yes",""))</f>
        <v/>
      </c>
      <c r="T50" s="19">
        <f>IF(S50="","",IFERROR(VLOOKUP(L50,Lists!$F$2:$G$5,2,0),1))</f>
        <v/>
      </c>
      <c r="U50" s="19">
        <f>IF(AND(S50="Yes",ISNUMBER(J50),ISNUMBER(K50)),ABS(K50-J50)*T50,"")</f>
        <v/>
      </c>
      <c r="V50" s="19">
        <f>IF(AND(C50&lt;&gt;"",ISNUMBER(I50)),IFERROR(VLOOKUP(G50,Lists!$C$2:$D$12,2,0),"other"),"")</f>
        <v/>
      </c>
      <c r="W50" s="19">
        <f>IF(S50="Yes",IF(ISNUMBER(U50),U50,-1)-ROW()/100000,"")</f>
        <v/>
      </c>
      <c r="X50" s="19">
        <f>IF(AND(C50&lt;&gt;"",OR(F50="Problem",F50="Watch")),ROW()-3,"")</f>
        <v/>
      </c>
      <c r="Y50" s="19">
        <f>IF(AND(C50&lt;&gt;"",F50="Unknown"),ROW()-3,"")</f>
        <v/>
      </c>
      <c r="Z50" s="19">
        <f>IF(AND(C50&lt;&gt;"",F50="Problem"),ROW()-3,"")</f>
        <v/>
      </c>
    </row>
    <row r="51">
      <c r="A51" s="11" t="n">
        <v>48</v>
      </c>
      <c r="B51" s="11" t="n"/>
      <c r="C51" s="12" t="n"/>
      <c r="D51" s="12" t="n"/>
      <c r="E51" s="12" t="n"/>
      <c r="F51" s="11" t="n"/>
      <c r="G51" s="11" t="n"/>
      <c r="H51" s="11" t="n"/>
      <c r="I51" s="11" t="n"/>
      <c r="J51" s="11" t="n"/>
      <c r="K51" s="11" t="n"/>
      <c r="L51" s="11" t="n"/>
      <c r="M51" s="11" t="n"/>
      <c r="N51" s="11" t="n"/>
      <c r="O51" s="12" t="n"/>
      <c r="P51" s="11" t="n"/>
      <c r="Q51" s="19">
        <f>IF(C51="","",IF(OR(AND('Set the table'!$C$4="Yes",ISNUMBER(SEARCH("A",P51))),AND('Set the table'!$C$5="Yes",ISNUMBER(SEARCH("B",P51))),AND('Set the table'!$C$6="Yes",ISNUMBER(SEARCH("C",P51))),AND('Set the table'!$C$7="Yes",ISNUMBER(SEARCH("D",P51)))),"Yes",""))</f>
        <v/>
      </c>
      <c r="R51" s="19">
        <f>IF(AND(Q51="Yes",OR(D51="",E51="",F51="")),"Gap","")</f>
        <v/>
      </c>
      <c r="S51" s="19">
        <f>IF(C51="","",IF(OR(F51="Watch",F51="Problem",F51="Unknown"),"Yes",""))</f>
        <v/>
      </c>
      <c r="T51" s="19">
        <f>IF(S51="","",IFERROR(VLOOKUP(L51,Lists!$F$2:$G$5,2,0),1))</f>
        <v/>
      </c>
      <c r="U51" s="19">
        <f>IF(AND(S51="Yes",ISNUMBER(J51),ISNUMBER(K51)),ABS(K51-J51)*T51,"")</f>
        <v/>
      </c>
      <c r="V51" s="19">
        <f>IF(AND(C51&lt;&gt;"",ISNUMBER(I51)),IFERROR(VLOOKUP(G51,Lists!$C$2:$D$12,2,0),"other"),"")</f>
        <v/>
      </c>
      <c r="W51" s="19">
        <f>IF(S51="Yes",IF(ISNUMBER(U51),U51,-1)-ROW()/100000,"")</f>
        <v/>
      </c>
      <c r="X51" s="19">
        <f>IF(AND(C51&lt;&gt;"",OR(F51="Problem",F51="Watch")),ROW()-3,"")</f>
        <v/>
      </c>
      <c r="Y51" s="19">
        <f>IF(AND(C51&lt;&gt;"",F51="Unknown"),ROW()-3,"")</f>
        <v/>
      </c>
      <c r="Z51" s="19">
        <f>IF(AND(C51&lt;&gt;"",F51="Problem"),ROW()-3,"")</f>
        <v/>
      </c>
    </row>
    <row r="52">
      <c r="A52" s="11" t="n">
        <v>49</v>
      </c>
      <c r="B52" s="11" t="n"/>
      <c r="C52" s="12" t="n"/>
      <c r="D52" s="12" t="n"/>
      <c r="E52" s="12" t="n"/>
      <c r="F52" s="11" t="n"/>
      <c r="G52" s="11" t="n"/>
      <c r="H52" s="11" t="n"/>
      <c r="I52" s="11" t="n"/>
      <c r="J52" s="11" t="n"/>
      <c r="K52" s="11" t="n"/>
      <c r="L52" s="11" t="n"/>
      <c r="M52" s="11" t="n"/>
      <c r="N52" s="11" t="n"/>
      <c r="O52" s="12" t="n"/>
      <c r="P52" s="11" t="n"/>
      <c r="Q52" s="19">
        <f>IF(C52="","",IF(OR(AND('Set the table'!$C$4="Yes",ISNUMBER(SEARCH("A",P52))),AND('Set the table'!$C$5="Yes",ISNUMBER(SEARCH("B",P52))),AND('Set the table'!$C$6="Yes",ISNUMBER(SEARCH("C",P52))),AND('Set the table'!$C$7="Yes",ISNUMBER(SEARCH("D",P52)))),"Yes",""))</f>
        <v/>
      </c>
      <c r="R52" s="19">
        <f>IF(AND(Q52="Yes",OR(D52="",E52="",F52="")),"Gap","")</f>
        <v/>
      </c>
      <c r="S52" s="19">
        <f>IF(C52="","",IF(OR(F52="Watch",F52="Problem",F52="Unknown"),"Yes",""))</f>
        <v/>
      </c>
      <c r="T52" s="19">
        <f>IF(S52="","",IFERROR(VLOOKUP(L52,Lists!$F$2:$G$5,2,0),1))</f>
        <v/>
      </c>
      <c r="U52" s="19">
        <f>IF(AND(S52="Yes",ISNUMBER(J52),ISNUMBER(K52)),ABS(K52-J52)*T52,"")</f>
        <v/>
      </c>
      <c r="V52" s="19">
        <f>IF(AND(C52&lt;&gt;"",ISNUMBER(I52)),IFERROR(VLOOKUP(G52,Lists!$C$2:$D$12,2,0),"other"),"")</f>
        <v/>
      </c>
      <c r="W52" s="19">
        <f>IF(S52="Yes",IF(ISNUMBER(U52),U52,-1)-ROW()/100000,"")</f>
        <v/>
      </c>
      <c r="X52" s="19">
        <f>IF(AND(C52&lt;&gt;"",OR(F52="Problem",F52="Watch")),ROW()-3,"")</f>
        <v/>
      </c>
      <c r="Y52" s="19">
        <f>IF(AND(C52&lt;&gt;"",F52="Unknown"),ROW()-3,"")</f>
        <v/>
      </c>
      <c r="Z52" s="19">
        <f>IF(AND(C52&lt;&gt;"",F52="Problem"),ROW()-3,"")</f>
        <v/>
      </c>
    </row>
    <row r="53">
      <c r="A53" s="11" t="n">
        <v>50</v>
      </c>
      <c r="B53" s="11" t="n"/>
      <c r="C53" s="12" t="n"/>
      <c r="D53" s="12" t="n"/>
      <c r="E53" s="12" t="n"/>
      <c r="F53" s="11" t="n"/>
      <c r="G53" s="11" t="n"/>
      <c r="H53" s="11" t="n"/>
      <c r="I53" s="11" t="n"/>
      <c r="J53" s="11" t="n"/>
      <c r="K53" s="11" t="n"/>
      <c r="L53" s="11" t="n"/>
      <c r="M53" s="11" t="n"/>
      <c r="N53" s="11" t="n"/>
      <c r="O53" s="12" t="n"/>
      <c r="P53" s="11" t="n"/>
      <c r="Q53" s="19">
        <f>IF(C53="","",IF(OR(AND('Set the table'!$C$4="Yes",ISNUMBER(SEARCH("A",P53))),AND('Set the table'!$C$5="Yes",ISNUMBER(SEARCH("B",P53))),AND('Set the table'!$C$6="Yes",ISNUMBER(SEARCH("C",P53))),AND('Set the table'!$C$7="Yes",ISNUMBER(SEARCH("D",P53)))),"Yes",""))</f>
        <v/>
      </c>
      <c r="R53" s="19">
        <f>IF(AND(Q53="Yes",OR(D53="",E53="",F53="")),"Gap","")</f>
        <v/>
      </c>
      <c r="S53" s="19">
        <f>IF(C53="","",IF(OR(F53="Watch",F53="Problem",F53="Unknown"),"Yes",""))</f>
        <v/>
      </c>
      <c r="T53" s="19">
        <f>IF(S53="","",IFERROR(VLOOKUP(L53,Lists!$F$2:$G$5,2,0),1))</f>
        <v/>
      </c>
      <c r="U53" s="19">
        <f>IF(AND(S53="Yes",ISNUMBER(J53),ISNUMBER(K53)),ABS(K53-J53)*T53,"")</f>
        <v/>
      </c>
      <c r="V53" s="19">
        <f>IF(AND(C53&lt;&gt;"",ISNUMBER(I53)),IFERROR(VLOOKUP(G53,Lists!$C$2:$D$12,2,0),"other"),"")</f>
        <v/>
      </c>
      <c r="W53" s="19">
        <f>IF(S53="Yes",IF(ISNUMBER(U53),U53,-1)-ROW()/100000,"")</f>
        <v/>
      </c>
      <c r="X53" s="19">
        <f>IF(AND(C53&lt;&gt;"",OR(F53="Problem",F53="Watch")),ROW()-3,"")</f>
        <v/>
      </c>
      <c r="Y53" s="19">
        <f>IF(AND(C53&lt;&gt;"",F53="Unknown"),ROW()-3,"")</f>
        <v/>
      </c>
      <c r="Z53" s="19">
        <f>IF(AND(C53&lt;&gt;"",F53="Problem"),ROW()-3,"")</f>
        <v/>
      </c>
    </row>
    <row r="54">
      <c r="A54" s="11" t="n">
        <v>51</v>
      </c>
      <c r="B54" s="11" t="n"/>
      <c r="C54" s="12" t="n"/>
      <c r="D54" s="12" t="n"/>
      <c r="E54" s="12" t="n"/>
      <c r="F54" s="11" t="n"/>
      <c r="G54" s="11" t="n"/>
      <c r="H54" s="11" t="n"/>
      <c r="I54" s="11" t="n"/>
      <c r="J54" s="11" t="n"/>
      <c r="K54" s="11" t="n"/>
      <c r="L54" s="11" t="n"/>
      <c r="M54" s="11" t="n"/>
      <c r="N54" s="11" t="n"/>
      <c r="O54" s="12" t="n"/>
      <c r="P54" s="11" t="n"/>
      <c r="Q54" s="19">
        <f>IF(C54="","",IF(OR(AND('Set the table'!$C$4="Yes",ISNUMBER(SEARCH("A",P54))),AND('Set the table'!$C$5="Yes",ISNUMBER(SEARCH("B",P54))),AND('Set the table'!$C$6="Yes",ISNUMBER(SEARCH("C",P54))),AND('Set the table'!$C$7="Yes",ISNUMBER(SEARCH("D",P54)))),"Yes",""))</f>
        <v/>
      </c>
      <c r="R54" s="19">
        <f>IF(AND(Q54="Yes",OR(D54="",E54="",F54="")),"Gap","")</f>
        <v/>
      </c>
      <c r="S54" s="19">
        <f>IF(C54="","",IF(OR(F54="Watch",F54="Problem",F54="Unknown"),"Yes",""))</f>
        <v/>
      </c>
      <c r="T54" s="19">
        <f>IF(S54="","",IFERROR(VLOOKUP(L54,Lists!$F$2:$G$5,2,0),1))</f>
        <v/>
      </c>
      <c r="U54" s="19">
        <f>IF(AND(S54="Yes",ISNUMBER(J54),ISNUMBER(K54)),ABS(K54-J54)*T54,"")</f>
        <v/>
      </c>
      <c r="V54" s="19">
        <f>IF(AND(C54&lt;&gt;"",ISNUMBER(I54)),IFERROR(VLOOKUP(G54,Lists!$C$2:$D$12,2,0),"other"),"")</f>
        <v/>
      </c>
      <c r="W54" s="19">
        <f>IF(S54="Yes",IF(ISNUMBER(U54),U54,-1)-ROW()/100000,"")</f>
        <v/>
      </c>
      <c r="X54" s="19">
        <f>IF(AND(C54&lt;&gt;"",OR(F54="Problem",F54="Watch")),ROW()-3,"")</f>
        <v/>
      </c>
      <c r="Y54" s="19">
        <f>IF(AND(C54&lt;&gt;"",F54="Unknown"),ROW()-3,"")</f>
        <v/>
      </c>
      <c r="Z54" s="19">
        <f>IF(AND(C54&lt;&gt;"",F54="Problem"),ROW()-3,"")</f>
        <v/>
      </c>
    </row>
    <row r="55">
      <c r="A55" s="11" t="n">
        <v>52</v>
      </c>
      <c r="B55" s="11" t="n"/>
      <c r="C55" s="12" t="n"/>
      <c r="D55" s="12" t="n"/>
      <c r="E55" s="12" t="n"/>
      <c r="F55" s="11" t="n"/>
      <c r="G55" s="11" t="n"/>
      <c r="H55" s="11" t="n"/>
      <c r="I55" s="11" t="n"/>
      <c r="J55" s="11" t="n"/>
      <c r="K55" s="11" t="n"/>
      <c r="L55" s="11" t="n"/>
      <c r="M55" s="11" t="n"/>
      <c r="N55" s="11" t="n"/>
      <c r="O55" s="12" t="n"/>
      <c r="P55" s="11" t="n"/>
      <c r="Q55" s="19">
        <f>IF(C55="","",IF(OR(AND('Set the table'!$C$4="Yes",ISNUMBER(SEARCH("A",P55))),AND('Set the table'!$C$5="Yes",ISNUMBER(SEARCH("B",P55))),AND('Set the table'!$C$6="Yes",ISNUMBER(SEARCH("C",P55))),AND('Set the table'!$C$7="Yes",ISNUMBER(SEARCH("D",P55)))),"Yes",""))</f>
        <v/>
      </c>
      <c r="R55" s="19">
        <f>IF(AND(Q55="Yes",OR(D55="",E55="",F55="")),"Gap","")</f>
        <v/>
      </c>
      <c r="S55" s="19">
        <f>IF(C55="","",IF(OR(F55="Watch",F55="Problem",F55="Unknown"),"Yes",""))</f>
        <v/>
      </c>
      <c r="T55" s="19">
        <f>IF(S55="","",IFERROR(VLOOKUP(L55,Lists!$F$2:$G$5,2,0),1))</f>
        <v/>
      </c>
      <c r="U55" s="19">
        <f>IF(AND(S55="Yes",ISNUMBER(J55),ISNUMBER(K55)),ABS(K55-J55)*T55,"")</f>
        <v/>
      </c>
      <c r="V55" s="19">
        <f>IF(AND(C55&lt;&gt;"",ISNUMBER(I55)),IFERROR(VLOOKUP(G55,Lists!$C$2:$D$12,2,0),"other"),"")</f>
        <v/>
      </c>
      <c r="W55" s="19">
        <f>IF(S55="Yes",IF(ISNUMBER(U55),U55,-1)-ROW()/100000,"")</f>
        <v/>
      </c>
      <c r="X55" s="19">
        <f>IF(AND(C55&lt;&gt;"",OR(F55="Problem",F55="Watch")),ROW()-3,"")</f>
        <v/>
      </c>
      <c r="Y55" s="19">
        <f>IF(AND(C55&lt;&gt;"",F55="Unknown"),ROW()-3,"")</f>
        <v/>
      </c>
      <c r="Z55" s="19">
        <f>IF(AND(C55&lt;&gt;"",F55="Problem"),ROW()-3,"")</f>
        <v/>
      </c>
    </row>
    <row r="56">
      <c r="A56" s="11" t="n">
        <v>53</v>
      </c>
      <c r="B56" s="11" t="n"/>
      <c r="C56" s="12" t="n"/>
      <c r="D56" s="12" t="n"/>
      <c r="E56" s="12" t="n"/>
      <c r="F56" s="11" t="n"/>
      <c r="G56" s="11" t="n"/>
      <c r="H56" s="11" t="n"/>
      <c r="I56" s="11" t="n"/>
      <c r="J56" s="11" t="n"/>
      <c r="K56" s="11" t="n"/>
      <c r="L56" s="11" t="n"/>
      <c r="M56" s="11" t="n"/>
      <c r="N56" s="11" t="n"/>
      <c r="O56" s="12" t="n"/>
      <c r="P56" s="11" t="n"/>
      <c r="Q56" s="19">
        <f>IF(C56="","",IF(OR(AND('Set the table'!$C$4="Yes",ISNUMBER(SEARCH("A",P56))),AND('Set the table'!$C$5="Yes",ISNUMBER(SEARCH("B",P56))),AND('Set the table'!$C$6="Yes",ISNUMBER(SEARCH("C",P56))),AND('Set the table'!$C$7="Yes",ISNUMBER(SEARCH("D",P56)))),"Yes",""))</f>
        <v/>
      </c>
      <c r="R56" s="19">
        <f>IF(AND(Q56="Yes",OR(D56="",E56="",F56="")),"Gap","")</f>
        <v/>
      </c>
      <c r="S56" s="19">
        <f>IF(C56="","",IF(OR(F56="Watch",F56="Problem",F56="Unknown"),"Yes",""))</f>
        <v/>
      </c>
      <c r="T56" s="19">
        <f>IF(S56="","",IFERROR(VLOOKUP(L56,Lists!$F$2:$G$5,2,0),1))</f>
        <v/>
      </c>
      <c r="U56" s="19">
        <f>IF(AND(S56="Yes",ISNUMBER(J56),ISNUMBER(K56)),ABS(K56-J56)*T56,"")</f>
        <v/>
      </c>
      <c r="V56" s="19">
        <f>IF(AND(C56&lt;&gt;"",ISNUMBER(I56)),IFERROR(VLOOKUP(G56,Lists!$C$2:$D$12,2,0),"other"),"")</f>
        <v/>
      </c>
      <c r="W56" s="19">
        <f>IF(S56="Yes",IF(ISNUMBER(U56),U56,-1)-ROW()/100000,"")</f>
        <v/>
      </c>
      <c r="X56" s="19">
        <f>IF(AND(C56&lt;&gt;"",OR(F56="Problem",F56="Watch")),ROW()-3,"")</f>
        <v/>
      </c>
      <c r="Y56" s="19">
        <f>IF(AND(C56&lt;&gt;"",F56="Unknown"),ROW()-3,"")</f>
        <v/>
      </c>
      <c r="Z56" s="19">
        <f>IF(AND(C56&lt;&gt;"",F56="Problem"),ROW()-3,"")</f>
        <v/>
      </c>
    </row>
    <row r="57">
      <c r="A57" s="11" t="n">
        <v>54</v>
      </c>
      <c r="B57" s="11" t="n"/>
      <c r="C57" s="12" t="n"/>
      <c r="D57" s="12" t="n"/>
      <c r="E57" s="12" t="n"/>
      <c r="F57" s="11" t="n"/>
      <c r="G57" s="11" t="n"/>
      <c r="H57" s="11" t="n"/>
      <c r="I57" s="11" t="n"/>
      <c r="J57" s="11" t="n"/>
      <c r="K57" s="11" t="n"/>
      <c r="L57" s="11" t="n"/>
      <c r="M57" s="11" t="n"/>
      <c r="N57" s="11" t="n"/>
      <c r="O57" s="12" t="n"/>
      <c r="P57" s="11" t="n"/>
      <c r="Q57" s="19">
        <f>IF(C57="","",IF(OR(AND('Set the table'!$C$4="Yes",ISNUMBER(SEARCH("A",P57))),AND('Set the table'!$C$5="Yes",ISNUMBER(SEARCH("B",P57))),AND('Set the table'!$C$6="Yes",ISNUMBER(SEARCH("C",P57))),AND('Set the table'!$C$7="Yes",ISNUMBER(SEARCH("D",P57)))),"Yes",""))</f>
        <v/>
      </c>
      <c r="R57" s="19">
        <f>IF(AND(Q57="Yes",OR(D57="",E57="",F57="")),"Gap","")</f>
        <v/>
      </c>
      <c r="S57" s="19">
        <f>IF(C57="","",IF(OR(F57="Watch",F57="Problem",F57="Unknown"),"Yes",""))</f>
        <v/>
      </c>
      <c r="T57" s="19">
        <f>IF(S57="","",IFERROR(VLOOKUP(L57,Lists!$F$2:$G$5,2,0),1))</f>
        <v/>
      </c>
      <c r="U57" s="19">
        <f>IF(AND(S57="Yes",ISNUMBER(J57),ISNUMBER(K57)),ABS(K57-J57)*T57,"")</f>
        <v/>
      </c>
      <c r="V57" s="19">
        <f>IF(AND(C57&lt;&gt;"",ISNUMBER(I57)),IFERROR(VLOOKUP(G57,Lists!$C$2:$D$12,2,0),"other"),"")</f>
        <v/>
      </c>
      <c r="W57" s="19">
        <f>IF(S57="Yes",IF(ISNUMBER(U57),U57,-1)-ROW()/100000,"")</f>
        <v/>
      </c>
      <c r="X57" s="19">
        <f>IF(AND(C57&lt;&gt;"",OR(F57="Problem",F57="Watch")),ROW()-3,"")</f>
        <v/>
      </c>
      <c r="Y57" s="19">
        <f>IF(AND(C57&lt;&gt;"",F57="Unknown"),ROW()-3,"")</f>
        <v/>
      </c>
      <c r="Z57" s="19">
        <f>IF(AND(C57&lt;&gt;"",F57="Problem"),ROW()-3,"")</f>
        <v/>
      </c>
    </row>
    <row r="58">
      <c r="A58" s="11" t="n">
        <v>55</v>
      </c>
      <c r="B58" s="11" t="n"/>
      <c r="C58" s="12" t="n"/>
      <c r="D58" s="12" t="n"/>
      <c r="E58" s="12" t="n"/>
      <c r="F58" s="11" t="n"/>
      <c r="G58" s="11" t="n"/>
      <c r="H58" s="11" t="n"/>
      <c r="I58" s="11" t="n"/>
      <c r="J58" s="11" t="n"/>
      <c r="K58" s="11" t="n"/>
      <c r="L58" s="11" t="n"/>
      <c r="M58" s="11" t="n"/>
      <c r="N58" s="11" t="n"/>
      <c r="O58" s="12" t="n"/>
      <c r="P58" s="11" t="n"/>
      <c r="Q58" s="19">
        <f>IF(C58="","",IF(OR(AND('Set the table'!$C$4="Yes",ISNUMBER(SEARCH("A",P58))),AND('Set the table'!$C$5="Yes",ISNUMBER(SEARCH("B",P58))),AND('Set the table'!$C$6="Yes",ISNUMBER(SEARCH("C",P58))),AND('Set the table'!$C$7="Yes",ISNUMBER(SEARCH("D",P58)))),"Yes",""))</f>
        <v/>
      </c>
      <c r="R58" s="19">
        <f>IF(AND(Q58="Yes",OR(D58="",E58="",F58="")),"Gap","")</f>
        <v/>
      </c>
      <c r="S58" s="19">
        <f>IF(C58="","",IF(OR(F58="Watch",F58="Problem",F58="Unknown"),"Yes",""))</f>
        <v/>
      </c>
      <c r="T58" s="19">
        <f>IF(S58="","",IFERROR(VLOOKUP(L58,Lists!$F$2:$G$5,2,0),1))</f>
        <v/>
      </c>
      <c r="U58" s="19">
        <f>IF(AND(S58="Yes",ISNUMBER(J58),ISNUMBER(K58)),ABS(K58-J58)*T58,"")</f>
        <v/>
      </c>
      <c r="V58" s="19">
        <f>IF(AND(C58&lt;&gt;"",ISNUMBER(I58)),IFERROR(VLOOKUP(G58,Lists!$C$2:$D$12,2,0),"other"),"")</f>
        <v/>
      </c>
      <c r="W58" s="19">
        <f>IF(S58="Yes",IF(ISNUMBER(U58),U58,-1)-ROW()/100000,"")</f>
        <v/>
      </c>
      <c r="X58" s="19">
        <f>IF(AND(C58&lt;&gt;"",OR(F58="Problem",F58="Watch")),ROW()-3,"")</f>
        <v/>
      </c>
      <c r="Y58" s="19">
        <f>IF(AND(C58&lt;&gt;"",F58="Unknown"),ROW()-3,"")</f>
        <v/>
      </c>
      <c r="Z58" s="19">
        <f>IF(AND(C58&lt;&gt;"",F58="Problem"),ROW()-3,"")</f>
        <v/>
      </c>
    </row>
    <row r="59">
      <c r="A59" s="11" t="n">
        <v>56</v>
      </c>
      <c r="B59" s="11" t="n"/>
      <c r="C59" s="12" t="n"/>
      <c r="D59" s="12" t="n"/>
      <c r="E59" s="12" t="n"/>
      <c r="F59" s="11" t="n"/>
      <c r="G59" s="11" t="n"/>
      <c r="H59" s="11" t="n"/>
      <c r="I59" s="11" t="n"/>
      <c r="J59" s="11" t="n"/>
      <c r="K59" s="11" t="n"/>
      <c r="L59" s="11" t="n"/>
      <c r="M59" s="11" t="n"/>
      <c r="N59" s="11" t="n"/>
      <c r="O59" s="12" t="n"/>
      <c r="P59" s="11" t="n"/>
      <c r="Q59" s="19">
        <f>IF(C59="","",IF(OR(AND('Set the table'!$C$4="Yes",ISNUMBER(SEARCH("A",P59))),AND('Set the table'!$C$5="Yes",ISNUMBER(SEARCH("B",P59))),AND('Set the table'!$C$6="Yes",ISNUMBER(SEARCH("C",P59))),AND('Set the table'!$C$7="Yes",ISNUMBER(SEARCH("D",P59)))),"Yes",""))</f>
        <v/>
      </c>
      <c r="R59" s="19">
        <f>IF(AND(Q59="Yes",OR(D59="",E59="",F59="")),"Gap","")</f>
        <v/>
      </c>
      <c r="S59" s="19">
        <f>IF(C59="","",IF(OR(F59="Watch",F59="Problem",F59="Unknown"),"Yes",""))</f>
        <v/>
      </c>
      <c r="T59" s="19">
        <f>IF(S59="","",IFERROR(VLOOKUP(L59,Lists!$F$2:$G$5,2,0),1))</f>
        <v/>
      </c>
      <c r="U59" s="19">
        <f>IF(AND(S59="Yes",ISNUMBER(J59),ISNUMBER(K59)),ABS(K59-J59)*T59,"")</f>
        <v/>
      </c>
      <c r="V59" s="19">
        <f>IF(AND(C59&lt;&gt;"",ISNUMBER(I59)),IFERROR(VLOOKUP(G59,Lists!$C$2:$D$12,2,0),"other"),"")</f>
        <v/>
      </c>
      <c r="W59" s="19">
        <f>IF(S59="Yes",IF(ISNUMBER(U59),U59,-1)-ROW()/100000,"")</f>
        <v/>
      </c>
      <c r="X59" s="19">
        <f>IF(AND(C59&lt;&gt;"",OR(F59="Problem",F59="Watch")),ROW()-3,"")</f>
        <v/>
      </c>
      <c r="Y59" s="19">
        <f>IF(AND(C59&lt;&gt;"",F59="Unknown"),ROW()-3,"")</f>
        <v/>
      </c>
      <c r="Z59" s="19">
        <f>IF(AND(C59&lt;&gt;"",F59="Problem"),ROW()-3,"")</f>
        <v/>
      </c>
    </row>
    <row r="60">
      <c r="A60" s="11" t="n">
        <v>57</v>
      </c>
      <c r="B60" s="11" t="n"/>
      <c r="C60" s="12" t="n"/>
      <c r="D60" s="12" t="n"/>
      <c r="E60" s="12" t="n"/>
      <c r="F60" s="11" t="n"/>
      <c r="G60" s="11" t="n"/>
      <c r="H60" s="11" t="n"/>
      <c r="I60" s="11" t="n"/>
      <c r="J60" s="11" t="n"/>
      <c r="K60" s="11" t="n"/>
      <c r="L60" s="11" t="n"/>
      <c r="M60" s="11" t="n"/>
      <c r="N60" s="11" t="n"/>
      <c r="O60" s="12" t="n"/>
      <c r="P60" s="11" t="n"/>
      <c r="Q60" s="19">
        <f>IF(C60="","",IF(OR(AND('Set the table'!$C$4="Yes",ISNUMBER(SEARCH("A",P60))),AND('Set the table'!$C$5="Yes",ISNUMBER(SEARCH("B",P60))),AND('Set the table'!$C$6="Yes",ISNUMBER(SEARCH("C",P60))),AND('Set the table'!$C$7="Yes",ISNUMBER(SEARCH("D",P60)))),"Yes",""))</f>
        <v/>
      </c>
      <c r="R60" s="19">
        <f>IF(AND(Q60="Yes",OR(D60="",E60="",F60="")),"Gap","")</f>
        <v/>
      </c>
      <c r="S60" s="19">
        <f>IF(C60="","",IF(OR(F60="Watch",F60="Problem",F60="Unknown"),"Yes",""))</f>
        <v/>
      </c>
      <c r="T60" s="19">
        <f>IF(S60="","",IFERROR(VLOOKUP(L60,Lists!$F$2:$G$5,2,0),1))</f>
        <v/>
      </c>
      <c r="U60" s="19">
        <f>IF(AND(S60="Yes",ISNUMBER(J60),ISNUMBER(K60)),ABS(K60-J60)*T60,"")</f>
        <v/>
      </c>
      <c r="V60" s="19">
        <f>IF(AND(C60&lt;&gt;"",ISNUMBER(I60)),IFERROR(VLOOKUP(G60,Lists!$C$2:$D$12,2,0),"other"),"")</f>
        <v/>
      </c>
      <c r="W60" s="19">
        <f>IF(S60="Yes",IF(ISNUMBER(U60),U60,-1)-ROW()/100000,"")</f>
        <v/>
      </c>
      <c r="X60" s="19">
        <f>IF(AND(C60&lt;&gt;"",OR(F60="Problem",F60="Watch")),ROW()-3,"")</f>
        <v/>
      </c>
      <c r="Y60" s="19">
        <f>IF(AND(C60&lt;&gt;"",F60="Unknown"),ROW()-3,"")</f>
        <v/>
      </c>
      <c r="Z60" s="19">
        <f>IF(AND(C60&lt;&gt;"",F60="Problem"),ROW()-3,"")</f>
        <v/>
      </c>
    </row>
    <row r="61">
      <c r="A61" s="11" t="n">
        <v>58</v>
      </c>
      <c r="B61" s="11" t="n"/>
      <c r="C61" s="12" t="n"/>
      <c r="D61" s="12" t="n"/>
      <c r="E61" s="12" t="n"/>
      <c r="F61" s="11" t="n"/>
      <c r="G61" s="11" t="n"/>
      <c r="H61" s="11" t="n"/>
      <c r="I61" s="11" t="n"/>
      <c r="J61" s="11" t="n"/>
      <c r="K61" s="11" t="n"/>
      <c r="L61" s="11" t="n"/>
      <c r="M61" s="11" t="n"/>
      <c r="N61" s="11" t="n"/>
      <c r="O61" s="12" t="n"/>
      <c r="P61" s="11" t="n"/>
      <c r="Q61" s="19">
        <f>IF(C61="","",IF(OR(AND('Set the table'!$C$4="Yes",ISNUMBER(SEARCH("A",P61))),AND('Set the table'!$C$5="Yes",ISNUMBER(SEARCH("B",P61))),AND('Set the table'!$C$6="Yes",ISNUMBER(SEARCH("C",P61))),AND('Set the table'!$C$7="Yes",ISNUMBER(SEARCH("D",P61)))),"Yes",""))</f>
        <v/>
      </c>
      <c r="R61" s="19">
        <f>IF(AND(Q61="Yes",OR(D61="",E61="",F61="")),"Gap","")</f>
        <v/>
      </c>
      <c r="S61" s="19">
        <f>IF(C61="","",IF(OR(F61="Watch",F61="Problem",F61="Unknown"),"Yes",""))</f>
        <v/>
      </c>
      <c r="T61" s="19">
        <f>IF(S61="","",IFERROR(VLOOKUP(L61,Lists!$F$2:$G$5,2,0),1))</f>
        <v/>
      </c>
      <c r="U61" s="19">
        <f>IF(AND(S61="Yes",ISNUMBER(J61),ISNUMBER(K61)),ABS(K61-J61)*T61,"")</f>
        <v/>
      </c>
      <c r="V61" s="19">
        <f>IF(AND(C61&lt;&gt;"",ISNUMBER(I61)),IFERROR(VLOOKUP(G61,Lists!$C$2:$D$12,2,0),"other"),"")</f>
        <v/>
      </c>
      <c r="W61" s="19">
        <f>IF(S61="Yes",IF(ISNUMBER(U61),U61,-1)-ROW()/100000,"")</f>
        <v/>
      </c>
      <c r="X61" s="19">
        <f>IF(AND(C61&lt;&gt;"",OR(F61="Problem",F61="Watch")),ROW()-3,"")</f>
        <v/>
      </c>
      <c r="Y61" s="19">
        <f>IF(AND(C61&lt;&gt;"",F61="Unknown"),ROW()-3,"")</f>
        <v/>
      </c>
      <c r="Z61" s="19">
        <f>IF(AND(C61&lt;&gt;"",F61="Problem"),ROW()-3,"")</f>
        <v/>
      </c>
    </row>
    <row r="62">
      <c r="A62" s="11" t="n">
        <v>59</v>
      </c>
      <c r="B62" s="11" t="n"/>
      <c r="C62" s="12" t="n"/>
      <c r="D62" s="12" t="n"/>
      <c r="E62" s="12" t="n"/>
      <c r="F62" s="11" t="n"/>
      <c r="G62" s="11" t="n"/>
      <c r="H62" s="11" t="n"/>
      <c r="I62" s="11" t="n"/>
      <c r="J62" s="11" t="n"/>
      <c r="K62" s="11" t="n"/>
      <c r="L62" s="11" t="n"/>
      <c r="M62" s="11" t="n"/>
      <c r="N62" s="11" t="n"/>
      <c r="O62" s="12" t="n"/>
      <c r="P62" s="11" t="n"/>
      <c r="Q62" s="19">
        <f>IF(C62="","",IF(OR(AND('Set the table'!$C$4="Yes",ISNUMBER(SEARCH("A",P62))),AND('Set the table'!$C$5="Yes",ISNUMBER(SEARCH("B",P62))),AND('Set the table'!$C$6="Yes",ISNUMBER(SEARCH("C",P62))),AND('Set the table'!$C$7="Yes",ISNUMBER(SEARCH("D",P62)))),"Yes",""))</f>
        <v/>
      </c>
      <c r="R62" s="19">
        <f>IF(AND(Q62="Yes",OR(D62="",E62="",F62="")),"Gap","")</f>
        <v/>
      </c>
      <c r="S62" s="19">
        <f>IF(C62="","",IF(OR(F62="Watch",F62="Problem",F62="Unknown"),"Yes",""))</f>
        <v/>
      </c>
      <c r="T62" s="19">
        <f>IF(S62="","",IFERROR(VLOOKUP(L62,Lists!$F$2:$G$5,2,0),1))</f>
        <v/>
      </c>
      <c r="U62" s="19">
        <f>IF(AND(S62="Yes",ISNUMBER(J62),ISNUMBER(K62)),ABS(K62-J62)*T62,"")</f>
        <v/>
      </c>
      <c r="V62" s="19">
        <f>IF(AND(C62&lt;&gt;"",ISNUMBER(I62)),IFERROR(VLOOKUP(G62,Lists!$C$2:$D$12,2,0),"other"),"")</f>
        <v/>
      </c>
      <c r="W62" s="19">
        <f>IF(S62="Yes",IF(ISNUMBER(U62),U62,-1)-ROW()/100000,"")</f>
        <v/>
      </c>
      <c r="X62" s="19">
        <f>IF(AND(C62&lt;&gt;"",OR(F62="Problem",F62="Watch")),ROW()-3,"")</f>
        <v/>
      </c>
      <c r="Y62" s="19">
        <f>IF(AND(C62&lt;&gt;"",F62="Unknown"),ROW()-3,"")</f>
        <v/>
      </c>
      <c r="Z62" s="19">
        <f>IF(AND(C62&lt;&gt;"",F62="Problem"),ROW()-3,"")</f>
        <v/>
      </c>
    </row>
    <row r="63">
      <c r="A63" s="11" t="n">
        <v>60</v>
      </c>
      <c r="B63" s="11" t="n"/>
      <c r="C63" s="12" t="n"/>
      <c r="D63" s="12" t="n"/>
      <c r="E63" s="12" t="n"/>
      <c r="F63" s="11" t="n"/>
      <c r="G63" s="11" t="n"/>
      <c r="H63" s="11" t="n"/>
      <c r="I63" s="11" t="n"/>
      <c r="J63" s="11" t="n"/>
      <c r="K63" s="11" t="n"/>
      <c r="L63" s="11" t="n"/>
      <c r="M63" s="11" t="n"/>
      <c r="N63" s="11" t="n"/>
      <c r="O63" s="12" t="n"/>
      <c r="P63" s="11" t="n"/>
      <c r="Q63" s="19">
        <f>IF(C63="","",IF(OR(AND('Set the table'!$C$4="Yes",ISNUMBER(SEARCH("A",P63))),AND('Set the table'!$C$5="Yes",ISNUMBER(SEARCH("B",P63))),AND('Set the table'!$C$6="Yes",ISNUMBER(SEARCH("C",P63))),AND('Set the table'!$C$7="Yes",ISNUMBER(SEARCH("D",P63)))),"Yes",""))</f>
        <v/>
      </c>
      <c r="R63" s="19">
        <f>IF(AND(Q63="Yes",OR(D63="",E63="",F63="")),"Gap","")</f>
        <v/>
      </c>
      <c r="S63" s="19">
        <f>IF(C63="","",IF(OR(F63="Watch",F63="Problem",F63="Unknown"),"Yes",""))</f>
        <v/>
      </c>
      <c r="T63" s="19">
        <f>IF(S63="","",IFERROR(VLOOKUP(L63,Lists!$F$2:$G$5,2,0),1))</f>
        <v/>
      </c>
      <c r="U63" s="19">
        <f>IF(AND(S63="Yes",ISNUMBER(J63),ISNUMBER(K63)),ABS(K63-J63)*T63,"")</f>
        <v/>
      </c>
      <c r="V63" s="19">
        <f>IF(AND(C63&lt;&gt;"",ISNUMBER(I63)),IFERROR(VLOOKUP(G63,Lists!$C$2:$D$12,2,0),"other"),"")</f>
        <v/>
      </c>
      <c r="W63" s="19">
        <f>IF(S63="Yes",IF(ISNUMBER(U63),U63,-1)-ROW()/100000,"")</f>
        <v/>
      </c>
      <c r="X63" s="19">
        <f>IF(AND(C63&lt;&gt;"",OR(F63="Problem",F63="Watch")),ROW()-3,"")</f>
        <v/>
      </c>
      <c r="Y63" s="19">
        <f>IF(AND(C63&lt;&gt;"",F63="Unknown"),ROW()-3,"")</f>
        <v/>
      </c>
      <c r="Z63" s="19">
        <f>IF(AND(C63&lt;&gt;"",F63="Problem"),ROW()-3,"")</f>
        <v/>
      </c>
    </row>
  </sheetData>
  <conditionalFormatting sqref="F4:F63">
    <cfRule type="cellIs" priority="1" operator="equal" dxfId="0">
      <formula>"Problem"</formula>
    </cfRule>
    <cfRule type="cellIs" priority="2" operator="equal" dxfId="1">
      <formula>"Watch"</formula>
    </cfRule>
    <cfRule type="cellIs" priority="3" operator="equal" dxfId="2">
      <formula>"Unknown"</formula>
    </cfRule>
    <cfRule type="cellIs" priority="4" operator="equal" dxfId="3">
      <formula>"Acceptable"</formula>
    </cfRule>
    <cfRule type="cellIs" priority="5" operator="equal" dxfId="3">
      <formula>"Same"</formula>
    </cfRule>
  </conditionalFormatting>
  <conditionalFormatting sqref="B4:E63">
    <cfRule type="expression" priority="6" dxfId="4">
      <formula>$R4="Gap"</formula>
    </cfRule>
  </conditionalFormatting>
  <conditionalFormatting sqref="A4:A63">
    <cfRule type="expression" priority="7" dxfId="5">
      <formula>$Q4="Yes"</formula>
    </cfRule>
  </conditionalFormatting>
  <dataValidations count="3">
    <dataValidation sqref="F4:F63" showDropDown="0" showInputMessage="0" showErrorMessage="0" allowBlank="1" type="list">
      <formula1>"Same,Acceptable,Watch,Problem,Unknown"</formula1>
    </dataValidation>
    <dataValidation sqref="G4:G63" showDropDown="0" showInputMessage="0" showErrorMessage="0" allowBlank="1" type="list">
      <formula1>"CPT / volume,Volume shape,AHT,Concurrency,Shrinkage,Pooling,Attrition,Supply timing,Service level,Abandonment,Several"</formula1>
    </dataValidation>
    <dataValidation sqref="L4:L63" showDropDown="0" showInputMessage="0" showErrorMessage="0" allowBlank="1" type="list">
      <formula1>"Established,Inferred,Asserted,Open"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3"/>
  <sheetViews>
    <sheetView workbookViewId="0">
      <pane ySplit="3" topLeftCell="A4" activePane="bottomLeft" state="frozen"/>
      <selection pane="bottomLeft" activeCell="A1" sqref="A1"/>
    </sheetView>
  </sheetViews>
  <sheetFormatPr baseColWidth="8" defaultRowHeight="15"/>
  <cols>
    <col width="6" customWidth="1" min="1" max="1"/>
    <col width="8" customWidth="1" min="2" max="2"/>
    <col width="44" customWidth="1" min="3" max="3"/>
    <col width="12" customWidth="1" min="4" max="4"/>
    <col width="11" customWidth="1" min="5" max="5"/>
    <col width="9" customWidth="1" min="6" max="6"/>
    <col width="9" customWidth="1" min="7" max="7"/>
    <col width="12" customWidth="1" min="8" max="8"/>
    <col width="11" customWidth="1" min="9" max="9"/>
    <col width="12" customWidth="1" min="10" max="10"/>
    <col width="12" customWidth="1" min="11" max="11"/>
  </cols>
  <sheetData>
    <row r="1">
      <c r="A1" s="14" t="inlineStr">
        <is>
          <t>The register — open assumptions, ranked</t>
        </is>
      </c>
    </row>
    <row r="2">
      <c r="A2" s="16" t="inlineStr">
        <is>
          <t>Every Watch, Problem or Unknown row on the grid, ranked by width of the FTE range × weakness of the evidence; rows without a range follow. Computed — edit the grid, not this sheet.</t>
        </is>
      </c>
    </row>
    <row r="3">
      <c r="A3" s="17" t="inlineStr">
        <is>
          <t>R</t>
        </is>
      </c>
      <c r="B3" s="17" t="inlineStr">
        <is>
          <t>Grid #</t>
        </is>
      </c>
      <c r="C3" s="17" t="inlineStr">
        <is>
          <t>Characteristic</t>
        </is>
      </c>
      <c r="D3" s="17" t="inlineStr">
        <is>
          <t>Call</t>
        </is>
      </c>
      <c r="E3" s="17" t="inlineStr">
        <is>
          <t>FTE central</t>
        </is>
      </c>
      <c r="F3" s="17" t="inlineStr">
        <is>
          <t>FTE low</t>
        </is>
      </c>
      <c r="G3" s="17" t="inlineStr">
        <is>
          <t>FTE high</t>
        </is>
      </c>
      <c r="H3" s="17" t="inlineStr">
        <is>
          <t>Evidence</t>
        </is>
      </c>
      <c r="I3" s="17" t="inlineStr">
        <is>
          <t>Rank score</t>
        </is>
      </c>
      <c r="J3" s="17" t="inlineStr">
        <is>
          <t>Owner</t>
        </is>
      </c>
      <c r="K3" s="17" t="inlineStr">
        <is>
          <t>Date</t>
        </is>
      </c>
    </row>
    <row r="4">
      <c r="A4" s="13">
        <f>IF(B4="","","R1")</f>
        <v/>
      </c>
      <c r="B4" s="13">
        <f>IFERROR(MATCH(LARGE(Grid!$W$4:$W$63,1),Grid!$W$4:$W$63,0),"")</f>
        <v/>
      </c>
      <c r="C4" s="13">
        <f>IF($B4="","",IF(INDEX(Grid!$C$4:$C$63,$B4)="","",INDEX(Grid!$C$4:$C$63,$B4)))</f>
        <v/>
      </c>
      <c r="D4" s="13">
        <f>IF($B4="","",IF(INDEX(Grid!$F$4:$F$63,$B4)="","",INDEX(Grid!$F$4:$F$63,$B4)))</f>
        <v/>
      </c>
      <c r="E4" s="13">
        <f>IF($B4="","",IF(INDEX(Grid!$I$4:$I$63,$B4)="","",INDEX(Grid!$I$4:$I$63,$B4)))</f>
        <v/>
      </c>
      <c r="F4" s="13">
        <f>IF($B4="","",IF(INDEX(Grid!$J$4:$J$63,$B4)="","",INDEX(Grid!$J$4:$J$63,$B4)))</f>
        <v/>
      </c>
      <c r="G4" s="13">
        <f>IF($B4="","",IF(INDEX(Grid!$K$4:$K$63,$B4)="","",INDEX(Grid!$K$4:$K$63,$B4)))</f>
        <v/>
      </c>
      <c r="H4" s="13">
        <f>IF($B4="","",IF(INDEX(Grid!$L$4:$L$63,$B4)="","",INDEX(Grid!$L$4:$L$63,$B4)))</f>
        <v/>
      </c>
      <c r="I4" s="13">
        <f>IF($B4="","",IF(INDEX(Grid!$U$4:$U$63,$B4)="","",INDEX(Grid!$U$4:$U$63,$B4)))</f>
        <v/>
      </c>
      <c r="J4" s="13">
        <f>IF($B4="","",IF(INDEX(Grid!$M$4:$M$63,$B4)="","",INDEX(Grid!$M$4:$M$63,$B4)))</f>
        <v/>
      </c>
      <c r="K4" s="13">
        <f>IF($B4="","",IF(INDEX(Grid!$N$4:$N$63,$B4)="","",INDEX(Grid!$N$4:$N$63,$B4)))</f>
        <v/>
      </c>
    </row>
    <row r="5">
      <c r="A5" s="13">
        <f>IF(B5="","","R2")</f>
        <v/>
      </c>
      <c r="B5" s="13">
        <f>IFERROR(MATCH(LARGE(Grid!$W$4:$W$63,2),Grid!$W$4:$W$63,0),"")</f>
        <v/>
      </c>
      <c r="C5" s="13">
        <f>IF($B5="","",IF(INDEX(Grid!$C$4:$C$63,$B5)="","",INDEX(Grid!$C$4:$C$63,$B5)))</f>
        <v/>
      </c>
      <c r="D5" s="13">
        <f>IF($B5="","",IF(INDEX(Grid!$F$4:$F$63,$B5)="","",INDEX(Grid!$F$4:$F$63,$B5)))</f>
        <v/>
      </c>
      <c r="E5" s="13">
        <f>IF($B5="","",IF(INDEX(Grid!$I$4:$I$63,$B5)="","",INDEX(Grid!$I$4:$I$63,$B5)))</f>
        <v/>
      </c>
      <c r="F5" s="13">
        <f>IF($B5="","",IF(INDEX(Grid!$J$4:$J$63,$B5)="","",INDEX(Grid!$J$4:$J$63,$B5)))</f>
        <v/>
      </c>
      <c r="G5" s="13">
        <f>IF($B5="","",IF(INDEX(Grid!$K$4:$K$63,$B5)="","",INDEX(Grid!$K$4:$K$63,$B5)))</f>
        <v/>
      </c>
      <c r="H5" s="13">
        <f>IF($B5="","",IF(INDEX(Grid!$L$4:$L$63,$B5)="","",INDEX(Grid!$L$4:$L$63,$B5)))</f>
        <v/>
      </c>
      <c r="I5" s="13">
        <f>IF($B5="","",IF(INDEX(Grid!$U$4:$U$63,$B5)="","",INDEX(Grid!$U$4:$U$63,$B5)))</f>
        <v/>
      </c>
      <c r="J5" s="13">
        <f>IF($B5="","",IF(INDEX(Grid!$M$4:$M$63,$B5)="","",INDEX(Grid!$M$4:$M$63,$B5)))</f>
        <v/>
      </c>
      <c r="K5" s="13">
        <f>IF($B5="","",IF(INDEX(Grid!$N$4:$N$63,$B5)="","",INDEX(Grid!$N$4:$N$63,$B5)))</f>
        <v/>
      </c>
    </row>
    <row r="6">
      <c r="A6" s="13">
        <f>IF(B6="","","R3")</f>
        <v/>
      </c>
      <c r="B6" s="13">
        <f>IFERROR(MATCH(LARGE(Grid!$W$4:$W$63,3),Grid!$W$4:$W$63,0),"")</f>
        <v/>
      </c>
      <c r="C6" s="13">
        <f>IF($B6="","",IF(INDEX(Grid!$C$4:$C$63,$B6)="","",INDEX(Grid!$C$4:$C$63,$B6)))</f>
        <v/>
      </c>
      <c r="D6" s="13">
        <f>IF($B6="","",IF(INDEX(Grid!$F$4:$F$63,$B6)="","",INDEX(Grid!$F$4:$F$63,$B6)))</f>
        <v/>
      </c>
      <c r="E6" s="13">
        <f>IF($B6="","",IF(INDEX(Grid!$I$4:$I$63,$B6)="","",INDEX(Grid!$I$4:$I$63,$B6)))</f>
        <v/>
      </c>
      <c r="F6" s="13">
        <f>IF($B6="","",IF(INDEX(Grid!$J$4:$J$63,$B6)="","",INDEX(Grid!$J$4:$J$63,$B6)))</f>
        <v/>
      </c>
      <c r="G6" s="13">
        <f>IF($B6="","",IF(INDEX(Grid!$K$4:$K$63,$B6)="","",INDEX(Grid!$K$4:$K$63,$B6)))</f>
        <v/>
      </c>
      <c r="H6" s="13">
        <f>IF($B6="","",IF(INDEX(Grid!$L$4:$L$63,$B6)="","",INDEX(Grid!$L$4:$L$63,$B6)))</f>
        <v/>
      </c>
      <c r="I6" s="13">
        <f>IF($B6="","",IF(INDEX(Grid!$U$4:$U$63,$B6)="","",INDEX(Grid!$U$4:$U$63,$B6)))</f>
        <v/>
      </c>
      <c r="J6" s="13">
        <f>IF($B6="","",IF(INDEX(Grid!$M$4:$M$63,$B6)="","",INDEX(Grid!$M$4:$M$63,$B6)))</f>
        <v/>
      </c>
      <c r="K6" s="13">
        <f>IF($B6="","",IF(INDEX(Grid!$N$4:$N$63,$B6)="","",INDEX(Grid!$N$4:$N$63,$B6)))</f>
        <v/>
      </c>
    </row>
    <row r="7">
      <c r="A7" s="13">
        <f>IF(B7="","","R4")</f>
        <v/>
      </c>
      <c r="B7" s="13">
        <f>IFERROR(MATCH(LARGE(Grid!$W$4:$W$63,4),Grid!$W$4:$W$63,0),"")</f>
        <v/>
      </c>
      <c r="C7" s="13">
        <f>IF($B7="","",IF(INDEX(Grid!$C$4:$C$63,$B7)="","",INDEX(Grid!$C$4:$C$63,$B7)))</f>
        <v/>
      </c>
      <c r="D7" s="13">
        <f>IF($B7="","",IF(INDEX(Grid!$F$4:$F$63,$B7)="","",INDEX(Grid!$F$4:$F$63,$B7)))</f>
        <v/>
      </c>
      <c r="E7" s="13">
        <f>IF($B7="","",IF(INDEX(Grid!$I$4:$I$63,$B7)="","",INDEX(Grid!$I$4:$I$63,$B7)))</f>
        <v/>
      </c>
      <c r="F7" s="13">
        <f>IF($B7="","",IF(INDEX(Grid!$J$4:$J$63,$B7)="","",INDEX(Grid!$J$4:$J$63,$B7)))</f>
        <v/>
      </c>
      <c r="G7" s="13">
        <f>IF($B7="","",IF(INDEX(Grid!$K$4:$K$63,$B7)="","",INDEX(Grid!$K$4:$K$63,$B7)))</f>
        <v/>
      </c>
      <c r="H7" s="13">
        <f>IF($B7="","",IF(INDEX(Grid!$L$4:$L$63,$B7)="","",INDEX(Grid!$L$4:$L$63,$B7)))</f>
        <v/>
      </c>
      <c r="I7" s="13">
        <f>IF($B7="","",IF(INDEX(Grid!$U$4:$U$63,$B7)="","",INDEX(Grid!$U$4:$U$63,$B7)))</f>
        <v/>
      </c>
      <c r="J7" s="13">
        <f>IF($B7="","",IF(INDEX(Grid!$M$4:$M$63,$B7)="","",INDEX(Grid!$M$4:$M$63,$B7)))</f>
        <v/>
      </c>
      <c r="K7" s="13">
        <f>IF($B7="","",IF(INDEX(Grid!$N$4:$N$63,$B7)="","",INDEX(Grid!$N$4:$N$63,$B7)))</f>
        <v/>
      </c>
    </row>
    <row r="8">
      <c r="A8" s="13">
        <f>IF(B8="","","R5")</f>
        <v/>
      </c>
      <c r="B8" s="13">
        <f>IFERROR(MATCH(LARGE(Grid!$W$4:$W$63,5),Grid!$W$4:$W$63,0),"")</f>
        <v/>
      </c>
      <c r="C8" s="13">
        <f>IF($B8="","",IF(INDEX(Grid!$C$4:$C$63,$B8)="","",INDEX(Grid!$C$4:$C$63,$B8)))</f>
        <v/>
      </c>
      <c r="D8" s="13">
        <f>IF($B8="","",IF(INDEX(Grid!$F$4:$F$63,$B8)="","",INDEX(Grid!$F$4:$F$63,$B8)))</f>
        <v/>
      </c>
      <c r="E8" s="13">
        <f>IF($B8="","",IF(INDEX(Grid!$I$4:$I$63,$B8)="","",INDEX(Grid!$I$4:$I$63,$B8)))</f>
        <v/>
      </c>
      <c r="F8" s="13">
        <f>IF($B8="","",IF(INDEX(Grid!$J$4:$J$63,$B8)="","",INDEX(Grid!$J$4:$J$63,$B8)))</f>
        <v/>
      </c>
      <c r="G8" s="13">
        <f>IF($B8="","",IF(INDEX(Grid!$K$4:$K$63,$B8)="","",INDEX(Grid!$K$4:$K$63,$B8)))</f>
        <v/>
      </c>
      <c r="H8" s="13">
        <f>IF($B8="","",IF(INDEX(Grid!$L$4:$L$63,$B8)="","",INDEX(Grid!$L$4:$L$63,$B8)))</f>
        <v/>
      </c>
      <c r="I8" s="13">
        <f>IF($B8="","",IF(INDEX(Grid!$U$4:$U$63,$B8)="","",INDEX(Grid!$U$4:$U$63,$B8)))</f>
        <v/>
      </c>
      <c r="J8" s="13">
        <f>IF($B8="","",IF(INDEX(Grid!$M$4:$M$63,$B8)="","",INDEX(Grid!$M$4:$M$63,$B8)))</f>
        <v/>
      </c>
      <c r="K8" s="13">
        <f>IF($B8="","",IF(INDEX(Grid!$N$4:$N$63,$B8)="","",INDEX(Grid!$N$4:$N$63,$B8)))</f>
        <v/>
      </c>
    </row>
    <row r="9">
      <c r="A9" s="13">
        <f>IF(B9="","","R6")</f>
        <v/>
      </c>
      <c r="B9" s="13">
        <f>IFERROR(MATCH(LARGE(Grid!$W$4:$W$63,6),Grid!$W$4:$W$63,0),"")</f>
        <v/>
      </c>
      <c r="C9" s="13">
        <f>IF($B9="","",IF(INDEX(Grid!$C$4:$C$63,$B9)="","",INDEX(Grid!$C$4:$C$63,$B9)))</f>
        <v/>
      </c>
      <c r="D9" s="13">
        <f>IF($B9="","",IF(INDEX(Grid!$F$4:$F$63,$B9)="","",INDEX(Grid!$F$4:$F$63,$B9)))</f>
        <v/>
      </c>
      <c r="E9" s="13">
        <f>IF($B9="","",IF(INDEX(Grid!$I$4:$I$63,$B9)="","",INDEX(Grid!$I$4:$I$63,$B9)))</f>
        <v/>
      </c>
      <c r="F9" s="13">
        <f>IF($B9="","",IF(INDEX(Grid!$J$4:$J$63,$B9)="","",INDEX(Grid!$J$4:$J$63,$B9)))</f>
        <v/>
      </c>
      <c r="G9" s="13">
        <f>IF($B9="","",IF(INDEX(Grid!$K$4:$K$63,$B9)="","",INDEX(Grid!$K$4:$K$63,$B9)))</f>
        <v/>
      </c>
      <c r="H9" s="13">
        <f>IF($B9="","",IF(INDEX(Grid!$L$4:$L$63,$B9)="","",INDEX(Grid!$L$4:$L$63,$B9)))</f>
        <v/>
      </c>
      <c r="I9" s="13">
        <f>IF($B9="","",IF(INDEX(Grid!$U$4:$U$63,$B9)="","",INDEX(Grid!$U$4:$U$63,$B9)))</f>
        <v/>
      </c>
      <c r="J9" s="13">
        <f>IF($B9="","",IF(INDEX(Grid!$M$4:$M$63,$B9)="","",INDEX(Grid!$M$4:$M$63,$B9)))</f>
        <v/>
      </c>
      <c r="K9" s="13">
        <f>IF($B9="","",IF(INDEX(Grid!$N$4:$N$63,$B9)="","",INDEX(Grid!$N$4:$N$63,$B9)))</f>
        <v/>
      </c>
    </row>
    <row r="10">
      <c r="A10" s="13">
        <f>IF(B10="","","R7")</f>
        <v/>
      </c>
      <c r="B10" s="13">
        <f>IFERROR(MATCH(LARGE(Grid!$W$4:$W$63,7),Grid!$W$4:$W$63,0),"")</f>
        <v/>
      </c>
      <c r="C10" s="13">
        <f>IF($B10="","",IF(INDEX(Grid!$C$4:$C$63,$B10)="","",INDEX(Grid!$C$4:$C$63,$B10)))</f>
        <v/>
      </c>
      <c r="D10" s="13">
        <f>IF($B10="","",IF(INDEX(Grid!$F$4:$F$63,$B10)="","",INDEX(Grid!$F$4:$F$63,$B10)))</f>
        <v/>
      </c>
      <c r="E10" s="13">
        <f>IF($B10="","",IF(INDEX(Grid!$I$4:$I$63,$B10)="","",INDEX(Grid!$I$4:$I$63,$B10)))</f>
        <v/>
      </c>
      <c r="F10" s="13">
        <f>IF($B10="","",IF(INDEX(Grid!$J$4:$J$63,$B10)="","",INDEX(Grid!$J$4:$J$63,$B10)))</f>
        <v/>
      </c>
      <c r="G10" s="13">
        <f>IF($B10="","",IF(INDEX(Grid!$K$4:$K$63,$B10)="","",INDEX(Grid!$K$4:$K$63,$B10)))</f>
        <v/>
      </c>
      <c r="H10" s="13">
        <f>IF($B10="","",IF(INDEX(Grid!$L$4:$L$63,$B10)="","",INDEX(Grid!$L$4:$L$63,$B10)))</f>
        <v/>
      </c>
      <c r="I10" s="13">
        <f>IF($B10="","",IF(INDEX(Grid!$U$4:$U$63,$B10)="","",INDEX(Grid!$U$4:$U$63,$B10)))</f>
        <v/>
      </c>
      <c r="J10" s="13">
        <f>IF($B10="","",IF(INDEX(Grid!$M$4:$M$63,$B10)="","",INDEX(Grid!$M$4:$M$63,$B10)))</f>
        <v/>
      </c>
      <c r="K10" s="13">
        <f>IF($B10="","",IF(INDEX(Grid!$N$4:$N$63,$B10)="","",INDEX(Grid!$N$4:$N$63,$B10)))</f>
        <v/>
      </c>
    </row>
    <row r="11">
      <c r="A11" s="13">
        <f>IF(B11="","","R8")</f>
        <v/>
      </c>
      <c r="B11" s="13">
        <f>IFERROR(MATCH(LARGE(Grid!$W$4:$W$63,8),Grid!$W$4:$W$63,0),"")</f>
        <v/>
      </c>
      <c r="C11" s="13">
        <f>IF($B11="","",IF(INDEX(Grid!$C$4:$C$63,$B11)="","",INDEX(Grid!$C$4:$C$63,$B11)))</f>
        <v/>
      </c>
      <c r="D11" s="13">
        <f>IF($B11="","",IF(INDEX(Grid!$F$4:$F$63,$B11)="","",INDEX(Grid!$F$4:$F$63,$B11)))</f>
        <v/>
      </c>
      <c r="E11" s="13">
        <f>IF($B11="","",IF(INDEX(Grid!$I$4:$I$63,$B11)="","",INDEX(Grid!$I$4:$I$63,$B11)))</f>
        <v/>
      </c>
      <c r="F11" s="13">
        <f>IF($B11="","",IF(INDEX(Grid!$J$4:$J$63,$B11)="","",INDEX(Grid!$J$4:$J$63,$B11)))</f>
        <v/>
      </c>
      <c r="G11" s="13">
        <f>IF($B11="","",IF(INDEX(Grid!$K$4:$K$63,$B11)="","",INDEX(Grid!$K$4:$K$63,$B11)))</f>
        <v/>
      </c>
      <c r="H11" s="13">
        <f>IF($B11="","",IF(INDEX(Grid!$L$4:$L$63,$B11)="","",INDEX(Grid!$L$4:$L$63,$B11)))</f>
        <v/>
      </c>
      <c r="I11" s="13">
        <f>IF($B11="","",IF(INDEX(Grid!$U$4:$U$63,$B11)="","",INDEX(Grid!$U$4:$U$63,$B11)))</f>
        <v/>
      </c>
      <c r="J11" s="13">
        <f>IF($B11="","",IF(INDEX(Grid!$M$4:$M$63,$B11)="","",INDEX(Grid!$M$4:$M$63,$B11)))</f>
        <v/>
      </c>
      <c r="K11" s="13">
        <f>IF($B11="","",IF(INDEX(Grid!$N$4:$N$63,$B11)="","",INDEX(Grid!$N$4:$N$63,$B11)))</f>
        <v/>
      </c>
    </row>
    <row r="12">
      <c r="A12" s="13">
        <f>IF(B12="","","R9")</f>
        <v/>
      </c>
      <c r="B12" s="13">
        <f>IFERROR(MATCH(LARGE(Grid!$W$4:$W$63,9),Grid!$W$4:$W$63,0),"")</f>
        <v/>
      </c>
      <c r="C12" s="13">
        <f>IF($B12="","",IF(INDEX(Grid!$C$4:$C$63,$B12)="","",INDEX(Grid!$C$4:$C$63,$B12)))</f>
        <v/>
      </c>
      <c r="D12" s="13">
        <f>IF($B12="","",IF(INDEX(Grid!$F$4:$F$63,$B12)="","",INDEX(Grid!$F$4:$F$63,$B12)))</f>
        <v/>
      </c>
      <c r="E12" s="13">
        <f>IF($B12="","",IF(INDEX(Grid!$I$4:$I$63,$B12)="","",INDEX(Grid!$I$4:$I$63,$B12)))</f>
        <v/>
      </c>
      <c r="F12" s="13">
        <f>IF($B12="","",IF(INDEX(Grid!$J$4:$J$63,$B12)="","",INDEX(Grid!$J$4:$J$63,$B12)))</f>
        <v/>
      </c>
      <c r="G12" s="13">
        <f>IF($B12="","",IF(INDEX(Grid!$K$4:$K$63,$B12)="","",INDEX(Grid!$K$4:$K$63,$B12)))</f>
        <v/>
      </c>
      <c r="H12" s="13">
        <f>IF($B12="","",IF(INDEX(Grid!$L$4:$L$63,$B12)="","",INDEX(Grid!$L$4:$L$63,$B12)))</f>
        <v/>
      </c>
      <c r="I12" s="13">
        <f>IF($B12="","",IF(INDEX(Grid!$U$4:$U$63,$B12)="","",INDEX(Grid!$U$4:$U$63,$B12)))</f>
        <v/>
      </c>
      <c r="J12" s="13">
        <f>IF($B12="","",IF(INDEX(Grid!$M$4:$M$63,$B12)="","",INDEX(Grid!$M$4:$M$63,$B12)))</f>
        <v/>
      </c>
      <c r="K12" s="13">
        <f>IF($B12="","",IF(INDEX(Grid!$N$4:$N$63,$B12)="","",INDEX(Grid!$N$4:$N$63,$B12)))</f>
        <v/>
      </c>
    </row>
    <row r="13">
      <c r="A13" s="13">
        <f>IF(B13="","","R10")</f>
        <v/>
      </c>
      <c r="B13" s="13">
        <f>IFERROR(MATCH(LARGE(Grid!$W$4:$W$63,10),Grid!$W$4:$W$63,0),"")</f>
        <v/>
      </c>
      <c r="C13" s="13">
        <f>IF($B13="","",IF(INDEX(Grid!$C$4:$C$63,$B13)="","",INDEX(Grid!$C$4:$C$63,$B13)))</f>
        <v/>
      </c>
      <c r="D13" s="13">
        <f>IF($B13="","",IF(INDEX(Grid!$F$4:$F$63,$B13)="","",INDEX(Grid!$F$4:$F$63,$B13)))</f>
        <v/>
      </c>
      <c r="E13" s="13">
        <f>IF($B13="","",IF(INDEX(Grid!$I$4:$I$63,$B13)="","",INDEX(Grid!$I$4:$I$63,$B13)))</f>
        <v/>
      </c>
      <c r="F13" s="13">
        <f>IF($B13="","",IF(INDEX(Grid!$J$4:$J$63,$B13)="","",INDEX(Grid!$J$4:$J$63,$B13)))</f>
        <v/>
      </c>
      <c r="G13" s="13">
        <f>IF($B13="","",IF(INDEX(Grid!$K$4:$K$63,$B13)="","",INDEX(Grid!$K$4:$K$63,$B13)))</f>
        <v/>
      </c>
      <c r="H13" s="13">
        <f>IF($B13="","",IF(INDEX(Grid!$L$4:$L$63,$B13)="","",INDEX(Grid!$L$4:$L$63,$B13)))</f>
        <v/>
      </c>
      <c r="I13" s="13">
        <f>IF($B13="","",IF(INDEX(Grid!$U$4:$U$63,$B13)="","",INDEX(Grid!$U$4:$U$63,$B13)))</f>
        <v/>
      </c>
      <c r="J13" s="13">
        <f>IF($B13="","",IF(INDEX(Grid!$M$4:$M$63,$B13)="","",INDEX(Grid!$M$4:$M$63,$B13)))</f>
        <v/>
      </c>
      <c r="K13" s="13">
        <f>IF($B13="","",IF(INDEX(Grid!$N$4:$N$63,$B13)="","",INDEX(Grid!$N$4:$N$63,$B13)))</f>
        <v/>
      </c>
    </row>
    <row r="14">
      <c r="A14" s="13">
        <f>IF(B14="","","R11")</f>
        <v/>
      </c>
      <c r="B14" s="13">
        <f>IFERROR(MATCH(LARGE(Grid!$W$4:$W$63,11),Grid!$W$4:$W$63,0),"")</f>
        <v/>
      </c>
      <c r="C14" s="13">
        <f>IF($B14="","",IF(INDEX(Grid!$C$4:$C$63,$B14)="","",INDEX(Grid!$C$4:$C$63,$B14)))</f>
        <v/>
      </c>
      <c r="D14" s="13">
        <f>IF($B14="","",IF(INDEX(Grid!$F$4:$F$63,$B14)="","",INDEX(Grid!$F$4:$F$63,$B14)))</f>
        <v/>
      </c>
      <c r="E14" s="13">
        <f>IF($B14="","",IF(INDEX(Grid!$I$4:$I$63,$B14)="","",INDEX(Grid!$I$4:$I$63,$B14)))</f>
        <v/>
      </c>
      <c r="F14" s="13">
        <f>IF($B14="","",IF(INDEX(Grid!$J$4:$J$63,$B14)="","",INDEX(Grid!$J$4:$J$63,$B14)))</f>
        <v/>
      </c>
      <c r="G14" s="13">
        <f>IF($B14="","",IF(INDEX(Grid!$K$4:$K$63,$B14)="","",INDEX(Grid!$K$4:$K$63,$B14)))</f>
        <v/>
      </c>
      <c r="H14" s="13">
        <f>IF($B14="","",IF(INDEX(Grid!$L$4:$L$63,$B14)="","",INDEX(Grid!$L$4:$L$63,$B14)))</f>
        <v/>
      </c>
      <c r="I14" s="13">
        <f>IF($B14="","",IF(INDEX(Grid!$U$4:$U$63,$B14)="","",INDEX(Grid!$U$4:$U$63,$B14)))</f>
        <v/>
      </c>
      <c r="J14" s="13">
        <f>IF($B14="","",IF(INDEX(Grid!$M$4:$M$63,$B14)="","",INDEX(Grid!$M$4:$M$63,$B14)))</f>
        <v/>
      </c>
      <c r="K14" s="13">
        <f>IF($B14="","",IF(INDEX(Grid!$N$4:$N$63,$B14)="","",INDEX(Grid!$N$4:$N$63,$B14)))</f>
        <v/>
      </c>
    </row>
    <row r="15">
      <c r="A15" s="13">
        <f>IF(B15="","","R12")</f>
        <v/>
      </c>
      <c r="B15" s="13">
        <f>IFERROR(MATCH(LARGE(Grid!$W$4:$W$63,12),Grid!$W$4:$W$63,0),"")</f>
        <v/>
      </c>
      <c r="C15" s="13">
        <f>IF($B15="","",IF(INDEX(Grid!$C$4:$C$63,$B15)="","",INDEX(Grid!$C$4:$C$63,$B15)))</f>
        <v/>
      </c>
      <c r="D15" s="13">
        <f>IF($B15="","",IF(INDEX(Grid!$F$4:$F$63,$B15)="","",INDEX(Grid!$F$4:$F$63,$B15)))</f>
        <v/>
      </c>
      <c r="E15" s="13">
        <f>IF($B15="","",IF(INDEX(Grid!$I$4:$I$63,$B15)="","",INDEX(Grid!$I$4:$I$63,$B15)))</f>
        <v/>
      </c>
      <c r="F15" s="13">
        <f>IF($B15="","",IF(INDEX(Grid!$J$4:$J$63,$B15)="","",INDEX(Grid!$J$4:$J$63,$B15)))</f>
        <v/>
      </c>
      <c r="G15" s="13">
        <f>IF($B15="","",IF(INDEX(Grid!$K$4:$K$63,$B15)="","",INDEX(Grid!$K$4:$K$63,$B15)))</f>
        <v/>
      </c>
      <c r="H15" s="13">
        <f>IF($B15="","",IF(INDEX(Grid!$L$4:$L$63,$B15)="","",INDEX(Grid!$L$4:$L$63,$B15)))</f>
        <v/>
      </c>
      <c r="I15" s="13">
        <f>IF($B15="","",IF(INDEX(Grid!$U$4:$U$63,$B15)="","",INDEX(Grid!$U$4:$U$63,$B15)))</f>
        <v/>
      </c>
      <c r="J15" s="13">
        <f>IF($B15="","",IF(INDEX(Grid!$M$4:$M$63,$B15)="","",INDEX(Grid!$M$4:$M$63,$B15)))</f>
        <v/>
      </c>
      <c r="K15" s="13">
        <f>IF($B15="","",IF(INDEX(Grid!$N$4:$N$63,$B15)="","",INDEX(Grid!$N$4:$N$63,$B15)))</f>
        <v/>
      </c>
    </row>
    <row r="16">
      <c r="A16" s="13">
        <f>IF(B16="","","R13")</f>
        <v/>
      </c>
      <c r="B16" s="13">
        <f>IFERROR(MATCH(LARGE(Grid!$W$4:$W$63,13),Grid!$W$4:$W$63,0),"")</f>
        <v/>
      </c>
      <c r="C16" s="13">
        <f>IF($B16="","",IF(INDEX(Grid!$C$4:$C$63,$B16)="","",INDEX(Grid!$C$4:$C$63,$B16)))</f>
        <v/>
      </c>
      <c r="D16" s="13">
        <f>IF($B16="","",IF(INDEX(Grid!$F$4:$F$63,$B16)="","",INDEX(Grid!$F$4:$F$63,$B16)))</f>
        <v/>
      </c>
      <c r="E16" s="13">
        <f>IF($B16="","",IF(INDEX(Grid!$I$4:$I$63,$B16)="","",INDEX(Grid!$I$4:$I$63,$B16)))</f>
        <v/>
      </c>
      <c r="F16" s="13">
        <f>IF($B16="","",IF(INDEX(Grid!$J$4:$J$63,$B16)="","",INDEX(Grid!$J$4:$J$63,$B16)))</f>
        <v/>
      </c>
      <c r="G16" s="13">
        <f>IF($B16="","",IF(INDEX(Grid!$K$4:$K$63,$B16)="","",INDEX(Grid!$K$4:$K$63,$B16)))</f>
        <v/>
      </c>
      <c r="H16" s="13">
        <f>IF($B16="","",IF(INDEX(Grid!$L$4:$L$63,$B16)="","",INDEX(Grid!$L$4:$L$63,$B16)))</f>
        <v/>
      </c>
      <c r="I16" s="13">
        <f>IF($B16="","",IF(INDEX(Grid!$U$4:$U$63,$B16)="","",INDEX(Grid!$U$4:$U$63,$B16)))</f>
        <v/>
      </c>
      <c r="J16" s="13">
        <f>IF($B16="","",IF(INDEX(Grid!$M$4:$M$63,$B16)="","",INDEX(Grid!$M$4:$M$63,$B16)))</f>
        <v/>
      </c>
      <c r="K16" s="13">
        <f>IF($B16="","",IF(INDEX(Grid!$N$4:$N$63,$B16)="","",INDEX(Grid!$N$4:$N$63,$B16)))</f>
        <v/>
      </c>
    </row>
    <row r="17">
      <c r="A17" s="13">
        <f>IF(B17="","","R14")</f>
        <v/>
      </c>
      <c r="B17" s="13">
        <f>IFERROR(MATCH(LARGE(Grid!$W$4:$W$63,14),Grid!$W$4:$W$63,0),"")</f>
        <v/>
      </c>
      <c r="C17" s="13">
        <f>IF($B17="","",IF(INDEX(Grid!$C$4:$C$63,$B17)="","",INDEX(Grid!$C$4:$C$63,$B17)))</f>
        <v/>
      </c>
      <c r="D17" s="13">
        <f>IF($B17="","",IF(INDEX(Grid!$F$4:$F$63,$B17)="","",INDEX(Grid!$F$4:$F$63,$B17)))</f>
        <v/>
      </c>
      <c r="E17" s="13">
        <f>IF($B17="","",IF(INDEX(Grid!$I$4:$I$63,$B17)="","",INDEX(Grid!$I$4:$I$63,$B17)))</f>
        <v/>
      </c>
      <c r="F17" s="13">
        <f>IF($B17="","",IF(INDEX(Grid!$J$4:$J$63,$B17)="","",INDEX(Grid!$J$4:$J$63,$B17)))</f>
        <v/>
      </c>
      <c r="G17" s="13">
        <f>IF($B17="","",IF(INDEX(Grid!$K$4:$K$63,$B17)="","",INDEX(Grid!$K$4:$K$63,$B17)))</f>
        <v/>
      </c>
      <c r="H17" s="13">
        <f>IF($B17="","",IF(INDEX(Grid!$L$4:$L$63,$B17)="","",INDEX(Grid!$L$4:$L$63,$B17)))</f>
        <v/>
      </c>
      <c r="I17" s="13">
        <f>IF($B17="","",IF(INDEX(Grid!$U$4:$U$63,$B17)="","",INDEX(Grid!$U$4:$U$63,$B17)))</f>
        <v/>
      </c>
      <c r="J17" s="13">
        <f>IF($B17="","",IF(INDEX(Grid!$M$4:$M$63,$B17)="","",INDEX(Grid!$M$4:$M$63,$B17)))</f>
        <v/>
      </c>
      <c r="K17" s="13">
        <f>IF($B17="","",IF(INDEX(Grid!$N$4:$N$63,$B17)="","",INDEX(Grid!$N$4:$N$63,$B17)))</f>
        <v/>
      </c>
    </row>
    <row r="18">
      <c r="A18" s="13">
        <f>IF(B18="","","R15")</f>
        <v/>
      </c>
      <c r="B18" s="13">
        <f>IFERROR(MATCH(LARGE(Grid!$W$4:$W$63,15),Grid!$W$4:$W$63,0),"")</f>
        <v/>
      </c>
      <c r="C18" s="13">
        <f>IF($B18="","",IF(INDEX(Grid!$C$4:$C$63,$B18)="","",INDEX(Grid!$C$4:$C$63,$B18)))</f>
        <v/>
      </c>
      <c r="D18" s="13">
        <f>IF($B18="","",IF(INDEX(Grid!$F$4:$F$63,$B18)="","",INDEX(Grid!$F$4:$F$63,$B18)))</f>
        <v/>
      </c>
      <c r="E18" s="13">
        <f>IF($B18="","",IF(INDEX(Grid!$I$4:$I$63,$B18)="","",INDEX(Grid!$I$4:$I$63,$B18)))</f>
        <v/>
      </c>
      <c r="F18" s="13">
        <f>IF($B18="","",IF(INDEX(Grid!$J$4:$J$63,$B18)="","",INDEX(Grid!$J$4:$J$63,$B18)))</f>
        <v/>
      </c>
      <c r="G18" s="13">
        <f>IF($B18="","",IF(INDEX(Grid!$K$4:$K$63,$B18)="","",INDEX(Grid!$K$4:$K$63,$B18)))</f>
        <v/>
      </c>
      <c r="H18" s="13">
        <f>IF($B18="","",IF(INDEX(Grid!$L$4:$L$63,$B18)="","",INDEX(Grid!$L$4:$L$63,$B18)))</f>
        <v/>
      </c>
      <c r="I18" s="13">
        <f>IF($B18="","",IF(INDEX(Grid!$U$4:$U$63,$B18)="","",INDEX(Grid!$U$4:$U$63,$B18)))</f>
        <v/>
      </c>
      <c r="J18" s="13">
        <f>IF($B18="","",IF(INDEX(Grid!$M$4:$M$63,$B18)="","",INDEX(Grid!$M$4:$M$63,$B18)))</f>
        <v/>
      </c>
      <c r="K18" s="13">
        <f>IF($B18="","",IF(INDEX(Grid!$N$4:$N$63,$B18)="","",INDEX(Grid!$N$4:$N$63,$B18)))</f>
        <v/>
      </c>
    </row>
    <row r="19">
      <c r="A19" s="13">
        <f>IF(B19="","","R16")</f>
        <v/>
      </c>
      <c r="B19" s="13">
        <f>IFERROR(MATCH(LARGE(Grid!$W$4:$W$63,16),Grid!$W$4:$W$63,0),"")</f>
        <v/>
      </c>
      <c r="C19" s="13">
        <f>IF($B19="","",IF(INDEX(Grid!$C$4:$C$63,$B19)="","",INDEX(Grid!$C$4:$C$63,$B19)))</f>
        <v/>
      </c>
      <c r="D19" s="13">
        <f>IF($B19="","",IF(INDEX(Grid!$F$4:$F$63,$B19)="","",INDEX(Grid!$F$4:$F$63,$B19)))</f>
        <v/>
      </c>
      <c r="E19" s="13">
        <f>IF($B19="","",IF(INDEX(Grid!$I$4:$I$63,$B19)="","",INDEX(Grid!$I$4:$I$63,$B19)))</f>
        <v/>
      </c>
      <c r="F19" s="13">
        <f>IF($B19="","",IF(INDEX(Grid!$J$4:$J$63,$B19)="","",INDEX(Grid!$J$4:$J$63,$B19)))</f>
        <v/>
      </c>
      <c r="G19" s="13">
        <f>IF($B19="","",IF(INDEX(Grid!$K$4:$K$63,$B19)="","",INDEX(Grid!$K$4:$K$63,$B19)))</f>
        <v/>
      </c>
      <c r="H19" s="13">
        <f>IF($B19="","",IF(INDEX(Grid!$L$4:$L$63,$B19)="","",INDEX(Grid!$L$4:$L$63,$B19)))</f>
        <v/>
      </c>
      <c r="I19" s="13">
        <f>IF($B19="","",IF(INDEX(Grid!$U$4:$U$63,$B19)="","",INDEX(Grid!$U$4:$U$63,$B19)))</f>
        <v/>
      </c>
      <c r="J19" s="13">
        <f>IF($B19="","",IF(INDEX(Grid!$M$4:$M$63,$B19)="","",INDEX(Grid!$M$4:$M$63,$B19)))</f>
        <v/>
      </c>
      <c r="K19" s="13">
        <f>IF($B19="","",IF(INDEX(Grid!$N$4:$N$63,$B19)="","",INDEX(Grid!$N$4:$N$63,$B19)))</f>
        <v/>
      </c>
    </row>
    <row r="20">
      <c r="A20" s="13">
        <f>IF(B20="","","R17")</f>
        <v/>
      </c>
      <c r="B20" s="13">
        <f>IFERROR(MATCH(LARGE(Grid!$W$4:$W$63,17),Grid!$W$4:$W$63,0),"")</f>
        <v/>
      </c>
      <c r="C20" s="13">
        <f>IF($B20="","",IF(INDEX(Grid!$C$4:$C$63,$B20)="","",INDEX(Grid!$C$4:$C$63,$B20)))</f>
        <v/>
      </c>
      <c r="D20" s="13">
        <f>IF($B20="","",IF(INDEX(Grid!$F$4:$F$63,$B20)="","",INDEX(Grid!$F$4:$F$63,$B20)))</f>
        <v/>
      </c>
      <c r="E20" s="13">
        <f>IF($B20="","",IF(INDEX(Grid!$I$4:$I$63,$B20)="","",INDEX(Grid!$I$4:$I$63,$B20)))</f>
        <v/>
      </c>
      <c r="F20" s="13">
        <f>IF($B20="","",IF(INDEX(Grid!$J$4:$J$63,$B20)="","",INDEX(Grid!$J$4:$J$63,$B20)))</f>
        <v/>
      </c>
      <c r="G20" s="13">
        <f>IF($B20="","",IF(INDEX(Grid!$K$4:$K$63,$B20)="","",INDEX(Grid!$K$4:$K$63,$B20)))</f>
        <v/>
      </c>
      <c r="H20" s="13">
        <f>IF($B20="","",IF(INDEX(Grid!$L$4:$L$63,$B20)="","",INDEX(Grid!$L$4:$L$63,$B20)))</f>
        <v/>
      </c>
      <c r="I20" s="13">
        <f>IF($B20="","",IF(INDEX(Grid!$U$4:$U$63,$B20)="","",INDEX(Grid!$U$4:$U$63,$B20)))</f>
        <v/>
      </c>
      <c r="J20" s="13">
        <f>IF($B20="","",IF(INDEX(Grid!$M$4:$M$63,$B20)="","",INDEX(Grid!$M$4:$M$63,$B20)))</f>
        <v/>
      </c>
      <c r="K20" s="13">
        <f>IF($B20="","",IF(INDEX(Grid!$N$4:$N$63,$B20)="","",INDEX(Grid!$N$4:$N$63,$B20)))</f>
        <v/>
      </c>
    </row>
    <row r="21">
      <c r="A21" s="13">
        <f>IF(B21="","","R18")</f>
        <v/>
      </c>
      <c r="B21" s="13">
        <f>IFERROR(MATCH(LARGE(Grid!$W$4:$W$63,18),Grid!$W$4:$W$63,0),"")</f>
        <v/>
      </c>
      <c r="C21" s="13">
        <f>IF($B21="","",IF(INDEX(Grid!$C$4:$C$63,$B21)="","",INDEX(Grid!$C$4:$C$63,$B21)))</f>
        <v/>
      </c>
      <c r="D21" s="13">
        <f>IF($B21="","",IF(INDEX(Grid!$F$4:$F$63,$B21)="","",INDEX(Grid!$F$4:$F$63,$B21)))</f>
        <v/>
      </c>
      <c r="E21" s="13">
        <f>IF($B21="","",IF(INDEX(Grid!$I$4:$I$63,$B21)="","",INDEX(Grid!$I$4:$I$63,$B21)))</f>
        <v/>
      </c>
      <c r="F21" s="13">
        <f>IF($B21="","",IF(INDEX(Grid!$J$4:$J$63,$B21)="","",INDEX(Grid!$J$4:$J$63,$B21)))</f>
        <v/>
      </c>
      <c r="G21" s="13">
        <f>IF($B21="","",IF(INDEX(Grid!$K$4:$K$63,$B21)="","",INDEX(Grid!$K$4:$K$63,$B21)))</f>
        <v/>
      </c>
      <c r="H21" s="13">
        <f>IF($B21="","",IF(INDEX(Grid!$L$4:$L$63,$B21)="","",INDEX(Grid!$L$4:$L$63,$B21)))</f>
        <v/>
      </c>
      <c r="I21" s="13">
        <f>IF($B21="","",IF(INDEX(Grid!$U$4:$U$63,$B21)="","",INDEX(Grid!$U$4:$U$63,$B21)))</f>
        <v/>
      </c>
      <c r="J21" s="13">
        <f>IF($B21="","",IF(INDEX(Grid!$M$4:$M$63,$B21)="","",INDEX(Grid!$M$4:$M$63,$B21)))</f>
        <v/>
      </c>
      <c r="K21" s="13">
        <f>IF($B21="","",IF(INDEX(Grid!$N$4:$N$63,$B21)="","",INDEX(Grid!$N$4:$N$63,$B21)))</f>
        <v/>
      </c>
    </row>
    <row r="22">
      <c r="A22" s="13">
        <f>IF(B22="","","R19")</f>
        <v/>
      </c>
      <c r="B22" s="13">
        <f>IFERROR(MATCH(LARGE(Grid!$W$4:$W$63,19),Grid!$W$4:$W$63,0),"")</f>
        <v/>
      </c>
      <c r="C22" s="13">
        <f>IF($B22="","",IF(INDEX(Grid!$C$4:$C$63,$B22)="","",INDEX(Grid!$C$4:$C$63,$B22)))</f>
        <v/>
      </c>
      <c r="D22" s="13">
        <f>IF($B22="","",IF(INDEX(Grid!$F$4:$F$63,$B22)="","",INDEX(Grid!$F$4:$F$63,$B22)))</f>
        <v/>
      </c>
      <c r="E22" s="13">
        <f>IF($B22="","",IF(INDEX(Grid!$I$4:$I$63,$B22)="","",INDEX(Grid!$I$4:$I$63,$B22)))</f>
        <v/>
      </c>
      <c r="F22" s="13">
        <f>IF($B22="","",IF(INDEX(Grid!$J$4:$J$63,$B22)="","",INDEX(Grid!$J$4:$J$63,$B22)))</f>
        <v/>
      </c>
      <c r="G22" s="13">
        <f>IF($B22="","",IF(INDEX(Grid!$K$4:$K$63,$B22)="","",INDEX(Grid!$K$4:$K$63,$B22)))</f>
        <v/>
      </c>
      <c r="H22" s="13">
        <f>IF($B22="","",IF(INDEX(Grid!$L$4:$L$63,$B22)="","",INDEX(Grid!$L$4:$L$63,$B22)))</f>
        <v/>
      </c>
      <c r="I22" s="13">
        <f>IF($B22="","",IF(INDEX(Grid!$U$4:$U$63,$B22)="","",INDEX(Grid!$U$4:$U$63,$B22)))</f>
        <v/>
      </c>
      <c r="J22" s="13">
        <f>IF($B22="","",IF(INDEX(Grid!$M$4:$M$63,$B22)="","",INDEX(Grid!$M$4:$M$63,$B22)))</f>
        <v/>
      </c>
      <c r="K22" s="13">
        <f>IF($B22="","",IF(INDEX(Grid!$N$4:$N$63,$B22)="","",INDEX(Grid!$N$4:$N$63,$B22)))</f>
        <v/>
      </c>
    </row>
    <row r="23">
      <c r="A23" s="13">
        <f>IF(B23="","","R20")</f>
        <v/>
      </c>
      <c r="B23" s="13">
        <f>IFERROR(MATCH(LARGE(Grid!$W$4:$W$63,20),Grid!$W$4:$W$63,0),"")</f>
        <v/>
      </c>
      <c r="C23" s="13">
        <f>IF($B23="","",IF(INDEX(Grid!$C$4:$C$63,$B23)="","",INDEX(Grid!$C$4:$C$63,$B23)))</f>
        <v/>
      </c>
      <c r="D23" s="13">
        <f>IF($B23="","",IF(INDEX(Grid!$F$4:$F$63,$B23)="","",INDEX(Grid!$F$4:$F$63,$B23)))</f>
        <v/>
      </c>
      <c r="E23" s="13">
        <f>IF($B23="","",IF(INDEX(Grid!$I$4:$I$63,$B23)="","",INDEX(Grid!$I$4:$I$63,$B23)))</f>
        <v/>
      </c>
      <c r="F23" s="13">
        <f>IF($B23="","",IF(INDEX(Grid!$J$4:$J$63,$B23)="","",INDEX(Grid!$J$4:$J$63,$B23)))</f>
        <v/>
      </c>
      <c r="G23" s="13">
        <f>IF($B23="","",IF(INDEX(Grid!$K$4:$K$63,$B23)="","",INDEX(Grid!$K$4:$K$63,$B23)))</f>
        <v/>
      </c>
      <c r="H23" s="13">
        <f>IF($B23="","",IF(INDEX(Grid!$L$4:$L$63,$B23)="","",INDEX(Grid!$L$4:$L$63,$B23)))</f>
        <v/>
      </c>
      <c r="I23" s="13">
        <f>IF($B23="","",IF(INDEX(Grid!$U$4:$U$63,$B23)="","",INDEX(Grid!$U$4:$U$63,$B23)))</f>
        <v/>
      </c>
      <c r="J23" s="13">
        <f>IF($B23="","",IF(INDEX(Grid!$M$4:$M$63,$B23)="","",INDEX(Grid!$M$4:$M$63,$B23)))</f>
        <v/>
      </c>
      <c r="K23" s="13">
        <f>IF($B23="","",IF(INDEX(Grid!$N$4:$N$63,$B23)="","",INDEX(Grid!$N$4:$N$63,$B23)))</f>
        <v/>
      </c>
    </row>
    <row r="24">
      <c r="A24" s="13">
        <f>IF(B24="","","R21")</f>
        <v/>
      </c>
      <c r="B24" s="13">
        <f>IFERROR(MATCH(LARGE(Grid!$W$4:$W$63,21),Grid!$W$4:$W$63,0),"")</f>
        <v/>
      </c>
      <c r="C24" s="13">
        <f>IF($B24="","",IF(INDEX(Grid!$C$4:$C$63,$B24)="","",INDEX(Grid!$C$4:$C$63,$B24)))</f>
        <v/>
      </c>
      <c r="D24" s="13">
        <f>IF($B24="","",IF(INDEX(Grid!$F$4:$F$63,$B24)="","",INDEX(Grid!$F$4:$F$63,$B24)))</f>
        <v/>
      </c>
      <c r="E24" s="13">
        <f>IF($B24="","",IF(INDEX(Grid!$I$4:$I$63,$B24)="","",INDEX(Grid!$I$4:$I$63,$B24)))</f>
        <v/>
      </c>
      <c r="F24" s="13">
        <f>IF($B24="","",IF(INDEX(Grid!$J$4:$J$63,$B24)="","",INDEX(Grid!$J$4:$J$63,$B24)))</f>
        <v/>
      </c>
      <c r="G24" s="13">
        <f>IF($B24="","",IF(INDEX(Grid!$K$4:$K$63,$B24)="","",INDEX(Grid!$K$4:$K$63,$B24)))</f>
        <v/>
      </c>
      <c r="H24" s="13">
        <f>IF($B24="","",IF(INDEX(Grid!$L$4:$L$63,$B24)="","",INDEX(Grid!$L$4:$L$63,$B24)))</f>
        <v/>
      </c>
      <c r="I24" s="13">
        <f>IF($B24="","",IF(INDEX(Grid!$U$4:$U$63,$B24)="","",INDEX(Grid!$U$4:$U$63,$B24)))</f>
        <v/>
      </c>
      <c r="J24" s="13">
        <f>IF($B24="","",IF(INDEX(Grid!$M$4:$M$63,$B24)="","",INDEX(Grid!$M$4:$M$63,$B24)))</f>
        <v/>
      </c>
      <c r="K24" s="13">
        <f>IF($B24="","",IF(INDEX(Grid!$N$4:$N$63,$B24)="","",INDEX(Grid!$N$4:$N$63,$B24)))</f>
        <v/>
      </c>
    </row>
    <row r="25">
      <c r="A25" s="13">
        <f>IF(B25="","","R22")</f>
        <v/>
      </c>
      <c r="B25" s="13">
        <f>IFERROR(MATCH(LARGE(Grid!$W$4:$W$63,22),Grid!$W$4:$W$63,0),"")</f>
        <v/>
      </c>
      <c r="C25" s="13">
        <f>IF($B25="","",IF(INDEX(Grid!$C$4:$C$63,$B25)="","",INDEX(Grid!$C$4:$C$63,$B25)))</f>
        <v/>
      </c>
      <c r="D25" s="13">
        <f>IF($B25="","",IF(INDEX(Grid!$F$4:$F$63,$B25)="","",INDEX(Grid!$F$4:$F$63,$B25)))</f>
        <v/>
      </c>
      <c r="E25" s="13">
        <f>IF($B25="","",IF(INDEX(Grid!$I$4:$I$63,$B25)="","",INDEX(Grid!$I$4:$I$63,$B25)))</f>
        <v/>
      </c>
      <c r="F25" s="13">
        <f>IF($B25="","",IF(INDEX(Grid!$J$4:$J$63,$B25)="","",INDEX(Grid!$J$4:$J$63,$B25)))</f>
        <v/>
      </c>
      <c r="G25" s="13">
        <f>IF($B25="","",IF(INDEX(Grid!$K$4:$K$63,$B25)="","",INDEX(Grid!$K$4:$K$63,$B25)))</f>
        <v/>
      </c>
      <c r="H25" s="13">
        <f>IF($B25="","",IF(INDEX(Grid!$L$4:$L$63,$B25)="","",INDEX(Grid!$L$4:$L$63,$B25)))</f>
        <v/>
      </c>
      <c r="I25" s="13">
        <f>IF($B25="","",IF(INDEX(Grid!$U$4:$U$63,$B25)="","",INDEX(Grid!$U$4:$U$63,$B25)))</f>
        <v/>
      </c>
      <c r="J25" s="13">
        <f>IF($B25="","",IF(INDEX(Grid!$M$4:$M$63,$B25)="","",INDEX(Grid!$M$4:$M$63,$B25)))</f>
        <v/>
      </c>
      <c r="K25" s="13">
        <f>IF($B25="","",IF(INDEX(Grid!$N$4:$N$63,$B25)="","",INDEX(Grid!$N$4:$N$63,$B25)))</f>
        <v/>
      </c>
    </row>
    <row r="26">
      <c r="A26" s="13">
        <f>IF(B26="","","R23")</f>
        <v/>
      </c>
      <c r="B26" s="13">
        <f>IFERROR(MATCH(LARGE(Grid!$W$4:$W$63,23),Grid!$W$4:$W$63,0),"")</f>
        <v/>
      </c>
      <c r="C26" s="13">
        <f>IF($B26="","",IF(INDEX(Grid!$C$4:$C$63,$B26)="","",INDEX(Grid!$C$4:$C$63,$B26)))</f>
        <v/>
      </c>
      <c r="D26" s="13">
        <f>IF($B26="","",IF(INDEX(Grid!$F$4:$F$63,$B26)="","",INDEX(Grid!$F$4:$F$63,$B26)))</f>
        <v/>
      </c>
      <c r="E26" s="13">
        <f>IF($B26="","",IF(INDEX(Grid!$I$4:$I$63,$B26)="","",INDEX(Grid!$I$4:$I$63,$B26)))</f>
        <v/>
      </c>
      <c r="F26" s="13">
        <f>IF($B26="","",IF(INDEX(Grid!$J$4:$J$63,$B26)="","",INDEX(Grid!$J$4:$J$63,$B26)))</f>
        <v/>
      </c>
      <c r="G26" s="13">
        <f>IF($B26="","",IF(INDEX(Grid!$K$4:$K$63,$B26)="","",INDEX(Grid!$K$4:$K$63,$B26)))</f>
        <v/>
      </c>
      <c r="H26" s="13">
        <f>IF($B26="","",IF(INDEX(Grid!$L$4:$L$63,$B26)="","",INDEX(Grid!$L$4:$L$63,$B26)))</f>
        <v/>
      </c>
      <c r="I26" s="13">
        <f>IF($B26="","",IF(INDEX(Grid!$U$4:$U$63,$B26)="","",INDEX(Grid!$U$4:$U$63,$B26)))</f>
        <v/>
      </c>
      <c r="J26" s="13">
        <f>IF($B26="","",IF(INDEX(Grid!$M$4:$M$63,$B26)="","",INDEX(Grid!$M$4:$M$63,$B26)))</f>
        <v/>
      </c>
      <c r="K26" s="13">
        <f>IF($B26="","",IF(INDEX(Grid!$N$4:$N$63,$B26)="","",INDEX(Grid!$N$4:$N$63,$B26)))</f>
        <v/>
      </c>
    </row>
    <row r="27">
      <c r="A27" s="13">
        <f>IF(B27="","","R24")</f>
        <v/>
      </c>
      <c r="B27" s="13">
        <f>IFERROR(MATCH(LARGE(Grid!$W$4:$W$63,24),Grid!$W$4:$W$63,0),"")</f>
        <v/>
      </c>
      <c r="C27" s="13">
        <f>IF($B27="","",IF(INDEX(Grid!$C$4:$C$63,$B27)="","",INDEX(Grid!$C$4:$C$63,$B27)))</f>
        <v/>
      </c>
      <c r="D27" s="13">
        <f>IF($B27="","",IF(INDEX(Grid!$F$4:$F$63,$B27)="","",INDEX(Grid!$F$4:$F$63,$B27)))</f>
        <v/>
      </c>
      <c r="E27" s="13">
        <f>IF($B27="","",IF(INDEX(Grid!$I$4:$I$63,$B27)="","",INDEX(Grid!$I$4:$I$63,$B27)))</f>
        <v/>
      </c>
      <c r="F27" s="13">
        <f>IF($B27="","",IF(INDEX(Grid!$J$4:$J$63,$B27)="","",INDEX(Grid!$J$4:$J$63,$B27)))</f>
        <v/>
      </c>
      <c r="G27" s="13">
        <f>IF($B27="","",IF(INDEX(Grid!$K$4:$K$63,$B27)="","",INDEX(Grid!$K$4:$K$63,$B27)))</f>
        <v/>
      </c>
      <c r="H27" s="13">
        <f>IF($B27="","",IF(INDEX(Grid!$L$4:$L$63,$B27)="","",INDEX(Grid!$L$4:$L$63,$B27)))</f>
        <v/>
      </c>
      <c r="I27" s="13">
        <f>IF($B27="","",IF(INDEX(Grid!$U$4:$U$63,$B27)="","",INDEX(Grid!$U$4:$U$63,$B27)))</f>
        <v/>
      </c>
      <c r="J27" s="13">
        <f>IF($B27="","",IF(INDEX(Grid!$M$4:$M$63,$B27)="","",INDEX(Grid!$M$4:$M$63,$B27)))</f>
        <v/>
      </c>
      <c r="K27" s="13">
        <f>IF($B27="","",IF(INDEX(Grid!$N$4:$N$63,$B27)="","",INDEX(Grid!$N$4:$N$63,$B27)))</f>
        <v/>
      </c>
    </row>
    <row r="28">
      <c r="A28" s="13">
        <f>IF(B28="","","R25")</f>
        <v/>
      </c>
      <c r="B28" s="13">
        <f>IFERROR(MATCH(LARGE(Grid!$W$4:$W$63,25),Grid!$W$4:$W$63,0),"")</f>
        <v/>
      </c>
      <c r="C28" s="13">
        <f>IF($B28="","",IF(INDEX(Grid!$C$4:$C$63,$B28)="","",INDEX(Grid!$C$4:$C$63,$B28)))</f>
        <v/>
      </c>
      <c r="D28" s="13">
        <f>IF($B28="","",IF(INDEX(Grid!$F$4:$F$63,$B28)="","",INDEX(Grid!$F$4:$F$63,$B28)))</f>
        <v/>
      </c>
      <c r="E28" s="13">
        <f>IF($B28="","",IF(INDEX(Grid!$I$4:$I$63,$B28)="","",INDEX(Grid!$I$4:$I$63,$B28)))</f>
        <v/>
      </c>
      <c r="F28" s="13">
        <f>IF($B28="","",IF(INDEX(Grid!$J$4:$J$63,$B28)="","",INDEX(Grid!$J$4:$J$63,$B28)))</f>
        <v/>
      </c>
      <c r="G28" s="13">
        <f>IF($B28="","",IF(INDEX(Grid!$K$4:$K$63,$B28)="","",INDEX(Grid!$K$4:$K$63,$B28)))</f>
        <v/>
      </c>
      <c r="H28" s="13">
        <f>IF($B28="","",IF(INDEX(Grid!$L$4:$L$63,$B28)="","",INDEX(Grid!$L$4:$L$63,$B28)))</f>
        <v/>
      </c>
      <c r="I28" s="13">
        <f>IF($B28="","",IF(INDEX(Grid!$U$4:$U$63,$B28)="","",INDEX(Grid!$U$4:$U$63,$B28)))</f>
        <v/>
      </c>
      <c r="J28" s="13">
        <f>IF($B28="","",IF(INDEX(Grid!$M$4:$M$63,$B28)="","",INDEX(Grid!$M$4:$M$63,$B28)))</f>
        <v/>
      </c>
      <c r="K28" s="13">
        <f>IF($B28="","",IF(INDEX(Grid!$N$4:$N$63,$B28)="","",INDEX(Grid!$N$4:$N$63,$B28)))</f>
        <v/>
      </c>
    </row>
    <row r="29">
      <c r="A29" s="13">
        <f>IF(B29="","","R26")</f>
        <v/>
      </c>
      <c r="B29" s="13">
        <f>IFERROR(MATCH(LARGE(Grid!$W$4:$W$63,26),Grid!$W$4:$W$63,0),"")</f>
        <v/>
      </c>
      <c r="C29" s="13">
        <f>IF($B29="","",IF(INDEX(Grid!$C$4:$C$63,$B29)="","",INDEX(Grid!$C$4:$C$63,$B29)))</f>
        <v/>
      </c>
      <c r="D29" s="13">
        <f>IF($B29="","",IF(INDEX(Grid!$F$4:$F$63,$B29)="","",INDEX(Grid!$F$4:$F$63,$B29)))</f>
        <v/>
      </c>
      <c r="E29" s="13">
        <f>IF($B29="","",IF(INDEX(Grid!$I$4:$I$63,$B29)="","",INDEX(Grid!$I$4:$I$63,$B29)))</f>
        <v/>
      </c>
      <c r="F29" s="13">
        <f>IF($B29="","",IF(INDEX(Grid!$J$4:$J$63,$B29)="","",INDEX(Grid!$J$4:$J$63,$B29)))</f>
        <v/>
      </c>
      <c r="G29" s="13">
        <f>IF($B29="","",IF(INDEX(Grid!$K$4:$K$63,$B29)="","",INDEX(Grid!$K$4:$K$63,$B29)))</f>
        <v/>
      </c>
      <c r="H29" s="13">
        <f>IF($B29="","",IF(INDEX(Grid!$L$4:$L$63,$B29)="","",INDEX(Grid!$L$4:$L$63,$B29)))</f>
        <v/>
      </c>
      <c r="I29" s="13">
        <f>IF($B29="","",IF(INDEX(Grid!$U$4:$U$63,$B29)="","",INDEX(Grid!$U$4:$U$63,$B29)))</f>
        <v/>
      </c>
      <c r="J29" s="13">
        <f>IF($B29="","",IF(INDEX(Grid!$M$4:$M$63,$B29)="","",INDEX(Grid!$M$4:$M$63,$B29)))</f>
        <v/>
      </c>
      <c r="K29" s="13">
        <f>IF($B29="","",IF(INDEX(Grid!$N$4:$N$63,$B29)="","",INDEX(Grid!$N$4:$N$63,$B29)))</f>
        <v/>
      </c>
    </row>
    <row r="30">
      <c r="A30" s="13">
        <f>IF(B30="","","R27")</f>
        <v/>
      </c>
      <c r="B30" s="13">
        <f>IFERROR(MATCH(LARGE(Grid!$W$4:$W$63,27),Grid!$W$4:$W$63,0),"")</f>
        <v/>
      </c>
      <c r="C30" s="13">
        <f>IF($B30="","",IF(INDEX(Grid!$C$4:$C$63,$B30)="","",INDEX(Grid!$C$4:$C$63,$B30)))</f>
        <v/>
      </c>
      <c r="D30" s="13">
        <f>IF($B30="","",IF(INDEX(Grid!$F$4:$F$63,$B30)="","",INDEX(Grid!$F$4:$F$63,$B30)))</f>
        <v/>
      </c>
      <c r="E30" s="13">
        <f>IF($B30="","",IF(INDEX(Grid!$I$4:$I$63,$B30)="","",INDEX(Grid!$I$4:$I$63,$B30)))</f>
        <v/>
      </c>
      <c r="F30" s="13">
        <f>IF($B30="","",IF(INDEX(Grid!$J$4:$J$63,$B30)="","",INDEX(Grid!$J$4:$J$63,$B30)))</f>
        <v/>
      </c>
      <c r="G30" s="13">
        <f>IF($B30="","",IF(INDEX(Grid!$K$4:$K$63,$B30)="","",INDEX(Grid!$K$4:$K$63,$B30)))</f>
        <v/>
      </c>
      <c r="H30" s="13">
        <f>IF($B30="","",IF(INDEX(Grid!$L$4:$L$63,$B30)="","",INDEX(Grid!$L$4:$L$63,$B30)))</f>
        <v/>
      </c>
      <c r="I30" s="13">
        <f>IF($B30="","",IF(INDEX(Grid!$U$4:$U$63,$B30)="","",INDEX(Grid!$U$4:$U$63,$B30)))</f>
        <v/>
      </c>
      <c r="J30" s="13">
        <f>IF($B30="","",IF(INDEX(Grid!$M$4:$M$63,$B30)="","",INDEX(Grid!$M$4:$M$63,$B30)))</f>
        <v/>
      </c>
      <c r="K30" s="13">
        <f>IF($B30="","",IF(INDEX(Grid!$N$4:$N$63,$B30)="","",INDEX(Grid!$N$4:$N$63,$B30)))</f>
        <v/>
      </c>
    </row>
    <row r="31">
      <c r="A31" s="13">
        <f>IF(B31="","","R28")</f>
        <v/>
      </c>
      <c r="B31" s="13">
        <f>IFERROR(MATCH(LARGE(Grid!$W$4:$W$63,28),Grid!$W$4:$W$63,0),"")</f>
        <v/>
      </c>
      <c r="C31" s="13">
        <f>IF($B31="","",IF(INDEX(Grid!$C$4:$C$63,$B31)="","",INDEX(Grid!$C$4:$C$63,$B31)))</f>
        <v/>
      </c>
      <c r="D31" s="13">
        <f>IF($B31="","",IF(INDEX(Grid!$F$4:$F$63,$B31)="","",INDEX(Grid!$F$4:$F$63,$B31)))</f>
        <v/>
      </c>
      <c r="E31" s="13">
        <f>IF($B31="","",IF(INDEX(Grid!$I$4:$I$63,$B31)="","",INDEX(Grid!$I$4:$I$63,$B31)))</f>
        <v/>
      </c>
      <c r="F31" s="13">
        <f>IF($B31="","",IF(INDEX(Grid!$J$4:$J$63,$B31)="","",INDEX(Grid!$J$4:$J$63,$B31)))</f>
        <v/>
      </c>
      <c r="G31" s="13">
        <f>IF($B31="","",IF(INDEX(Grid!$K$4:$K$63,$B31)="","",INDEX(Grid!$K$4:$K$63,$B31)))</f>
        <v/>
      </c>
      <c r="H31" s="13">
        <f>IF($B31="","",IF(INDEX(Grid!$L$4:$L$63,$B31)="","",INDEX(Grid!$L$4:$L$63,$B31)))</f>
        <v/>
      </c>
      <c r="I31" s="13">
        <f>IF($B31="","",IF(INDEX(Grid!$U$4:$U$63,$B31)="","",INDEX(Grid!$U$4:$U$63,$B31)))</f>
        <v/>
      </c>
      <c r="J31" s="13">
        <f>IF($B31="","",IF(INDEX(Grid!$M$4:$M$63,$B31)="","",INDEX(Grid!$M$4:$M$63,$B31)))</f>
        <v/>
      </c>
      <c r="K31" s="13">
        <f>IF($B31="","",IF(INDEX(Grid!$N$4:$N$63,$B31)="","",INDEX(Grid!$N$4:$N$63,$B31)))</f>
        <v/>
      </c>
    </row>
    <row r="32">
      <c r="A32" s="13">
        <f>IF(B32="","","R29")</f>
        <v/>
      </c>
      <c r="B32" s="13">
        <f>IFERROR(MATCH(LARGE(Grid!$W$4:$W$63,29),Grid!$W$4:$W$63,0),"")</f>
        <v/>
      </c>
      <c r="C32" s="13">
        <f>IF($B32="","",IF(INDEX(Grid!$C$4:$C$63,$B32)="","",INDEX(Grid!$C$4:$C$63,$B32)))</f>
        <v/>
      </c>
      <c r="D32" s="13">
        <f>IF($B32="","",IF(INDEX(Grid!$F$4:$F$63,$B32)="","",INDEX(Grid!$F$4:$F$63,$B32)))</f>
        <v/>
      </c>
      <c r="E32" s="13">
        <f>IF($B32="","",IF(INDEX(Grid!$I$4:$I$63,$B32)="","",INDEX(Grid!$I$4:$I$63,$B32)))</f>
        <v/>
      </c>
      <c r="F32" s="13">
        <f>IF($B32="","",IF(INDEX(Grid!$J$4:$J$63,$B32)="","",INDEX(Grid!$J$4:$J$63,$B32)))</f>
        <v/>
      </c>
      <c r="G32" s="13">
        <f>IF($B32="","",IF(INDEX(Grid!$K$4:$K$63,$B32)="","",INDEX(Grid!$K$4:$K$63,$B32)))</f>
        <v/>
      </c>
      <c r="H32" s="13">
        <f>IF($B32="","",IF(INDEX(Grid!$L$4:$L$63,$B32)="","",INDEX(Grid!$L$4:$L$63,$B32)))</f>
        <v/>
      </c>
      <c r="I32" s="13">
        <f>IF($B32="","",IF(INDEX(Grid!$U$4:$U$63,$B32)="","",INDEX(Grid!$U$4:$U$63,$B32)))</f>
        <v/>
      </c>
      <c r="J32" s="13">
        <f>IF($B32="","",IF(INDEX(Grid!$M$4:$M$63,$B32)="","",INDEX(Grid!$M$4:$M$63,$B32)))</f>
        <v/>
      </c>
      <c r="K32" s="13">
        <f>IF($B32="","",IF(INDEX(Grid!$N$4:$N$63,$B32)="","",INDEX(Grid!$N$4:$N$63,$B32)))</f>
        <v/>
      </c>
    </row>
    <row r="33">
      <c r="A33" s="13">
        <f>IF(B33="","","R30")</f>
        <v/>
      </c>
      <c r="B33" s="13">
        <f>IFERROR(MATCH(LARGE(Grid!$W$4:$W$63,30),Grid!$W$4:$W$63,0),"")</f>
        <v/>
      </c>
      <c r="C33" s="13">
        <f>IF($B33="","",IF(INDEX(Grid!$C$4:$C$63,$B33)="","",INDEX(Grid!$C$4:$C$63,$B33)))</f>
        <v/>
      </c>
      <c r="D33" s="13">
        <f>IF($B33="","",IF(INDEX(Grid!$F$4:$F$63,$B33)="","",INDEX(Grid!$F$4:$F$63,$B33)))</f>
        <v/>
      </c>
      <c r="E33" s="13">
        <f>IF($B33="","",IF(INDEX(Grid!$I$4:$I$63,$B33)="","",INDEX(Grid!$I$4:$I$63,$B33)))</f>
        <v/>
      </c>
      <c r="F33" s="13">
        <f>IF($B33="","",IF(INDEX(Grid!$J$4:$J$63,$B33)="","",INDEX(Grid!$J$4:$J$63,$B33)))</f>
        <v/>
      </c>
      <c r="G33" s="13">
        <f>IF($B33="","",IF(INDEX(Grid!$K$4:$K$63,$B33)="","",INDEX(Grid!$K$4:$K$63,$B33)))</f>
        <v/>
      </c>
      <c r="H33" s="13">
        <f>IF($B33="","",IF(INDEX(Grid!$L$4:$L$63,$B33)="","",INDEX(Grid!$L$4:$L$63,$B33)))</f>
        <v/>
      </c>
      <c r="I33" s="13">
        <f>IF($B33="","",IF(INDEX(Grid!$U$4:$U$63,$B33)="","",INDEX(Grid!$U$4:$U$63,$B33)))</f>
        <v/>
      </c>
      <c r="J33" s="13">
        <f>IF($B33="","",IF(INDEX(Grid!$M$4:$M$63,$B33)="","",INDEX(Grid!$M$4:$M$63,$B33)))</f>
        <v/>
      </c>
      <c r="K33" s="13">
        <f>IF($B33="","",IF(INDEX(Grid!$N$4:$N$63,$B33)="","",INDEX(Grid!$N$4:$N$63,$B33)))</f>
        <v/>
      </c>
    </row>
    <row r="34">
      <c r="A34" s="13">
        <f>IF(B34="","","R31")</f>
        <v/>
      </c>
      <c r="B34" s="13">
        <f>IFERROR(MATCH(LARGE(Grid!$W$4:$W$63,31),Grid!$W$4:$W$63,0),"")</f>
        <v/>
      </c>
      <c r="C34" s="13">
        <f>IF($B34="","",IF(INDEX(Grid!$C$4:$C$63,$B34)="","",INDEX(Grid!$C$4:$C$63,$B34)))</f>
        <v/>
      </c>
      <c r="D34" s="13">
        <f>IF($B34="","",IF(INDEX(Grid!$F$4:$F$63,$B34)="","",INDEX(Grid!$F$4:$F$63,$B34)))</f>
        <v/>
      </c>
      <c r="E34" s="13">
        <f>IF($B34="","",IF(INDEX(Grid!$I$4:$I$63,$B34)="","",INDEX(Grid!$I$4:$I$63,$B34)))</f>
        <v/>
      </c>
      <c r="F34" s="13">
        <f>IF($B34="","",IF(INDEX(Grid!$J$4:$J$63,$B34)="","",INDEX(Grid!$J$4:$J$63,$B34)))</f>
        <v/>
      </c>
      <c r="G34" s="13">
        <f>IF($B34="","",IF(INDEX(Grid!$K$4:$K$63,$B34)="","",INDEX(Grid!$K$4:$K$63,$B34)))</f>
        <v/>
      </c>
      <c r="H34" s="13">
        <f>IF($B34="","",IF(INDEX(Grid!$L$4:$L$63,$B34)="","",INDEX(Grid!$L$4:$L$63,$B34)))</f>
        <v/>
      </c>
      <c r="I34" s="13">
        <f>IF($B34="","",IF(INDEX(Grid!$U$4:$U$63,$B34)="","",INDEX(Grid!$U$4:$U$63,$B34)))</f>
        <v/>
      </c>
      <c r="J34" s="13">
        <f>IF($B34="","",IF(INDEX(Grid!$M$4:$M$63,$B34)="","",INDEX(Grid!$M$4:$M$63,$B34)))</f>
        <v/>
      </c>
      <c r="K34" s="13">
        <f>IF($B34="","",IF(INDEX(Grid!$N$4:$N$63,$B34)="","",INDEX(Grid!$N$4:$N$63,$B34)))</f>
        <v/>
      </c>
    </row>
    <row r="35">
      <c r="A35" s="13">
        <f>IF(B35="","","R32")</f>
        <v/>
      </c>
      <c r="B35" s="13">
        <f>IFERROR(MATCH(LARGE(Grid!$W$4:$W$63,32),Grid!$W$4:$W$63,0),"")</f>
        <v/>
      </c>
      <c r="C35" s="13">
        <f>IF($B35="","",IF(INDEX(Grid!$C$4:$C$63,$B35)="","",INDEX(Grid!$C$4:$C$63,$B35)))</f>
        <v/>
      </c>
      <c r="D35" s="13">
        <f>IF($B35="","",IF(INDEX(Grid!$F$4:$F$63,$B35)="","",INDEX(Grid!$F$4:$F$63,$B35)))</f>
        <v/>
      </c>
      <c r="E35" s="13">
        <f>IF($B35="","",IF(INDEX(Grid!$I$4:$I$63,$B35)="","",INDEX(Grid!$I$4:$I$63,$B35)))</f>
        <v/>
      </c>
      <c r="F35" s="13">
        <f>IF($B35="","",IF(INDEX(Grid!$J$4:$J$63,$B35)="","",INDEX(Grid!$J$4:$J$63,$B35)))</f>
        <v/>
      </c>
      <c r="G35" s="13">
        <f>IF($B35="","",IF(INDEX(Grid!$K$4:$K$63,$B35)="","",INDEX(Grid!$K$4:$K$63,$B35)))</f>
        <v/>
      </c>
      <c r="H35" s="13">
        <f>IF($B35="","",IF(INDEX(Grid!$L$4:$L$63,$B35)="","",INDEX(Grid!$L$4:$L$63,$B35)))</f>
        <v/>
      </c>
      <c r="I35" s="13">
        <f>IF($B35="","",IF(INDEX(Grid!$U$4:$U$63,$B35)="","",INDEX(Grid!$U$4:$U$63,$B35)))</f>
        <v/>
      </c>
      <c r="J35" s="13">
        <f>IF($B35="","",IF(INDEX(Grid!$M$4:$M$63,$B35)="","",INDEX(Grid!$M$4:$M$63,$B35)))</f>
        <v/>
      </c>
      <c r="K35" s="13">
        <f>IF($B35="","",IF(INDEX(Grid!$N$4:$N$63,$B35)="","",INDEX(Grid!$N$4:$N$63,$B35)))</f>
        <v/>
      </c>
    </row>
    <row r="36">
      <c r="A36" s="13">
        <f>IF(B36="","","R33")</f>
        <v/>
      </c>
      <c r="B36" s="13">
        <f>IFERROR(MATCH(LARGE(Grid!$W$4:$W$63,33),Grid!$W$4:$W$63,0),"")</f>
        <v/>
      </c>
      <c r="C36" s="13">
        <f>IF($B36="","",IF(INDEX(Grid!$C$4:$C$63,$B36)="","",INDEX(Grid!$C$4:$C$63,$B36)))</f>
        <v/>
      </c>
      <c r="D36" s="13">
        <f>IF($B36="","",IF(INDEX(Grid!$F$4:$F$63,$B36)="","",INDEX(Grid!$F$4:$F$63,$B36)))</f>
        <v/>
      </c>
      <c r="E36" s="13">
        <f>IF($B36="","",IF(INDEX(Grid!$I$4:$I$63,$B36)="","",INDEX(Grid!$I$4:$I$63,$B36)))</f>
        <v/>
      </c>
      <c r="F36" s="13">
        <f>IF($B36="","",IF(INDEX(Grid!$J$4:$J$63,$B36)="","",INDEX(Grid!$J$4:$J$63,$B36)))</f>
        <v/>
      </c>
      <c r="G36" s="13">
        <f>IF($B36="","",IF(INDEX(Grid!$K$4:$K$63,$B36)="","",INDEX(Grid!$K$4:$K$63,$B36)))</f>
        <v/>
      </c>
      <c r="H36" s="13">
        <f>IF($B36="","",IF(INDEX(Grid!$L$4:$L$63,$B36)="","",INDEX(Grid!$L$4:$L$63,$B36)))</f>
        <v/>
      </c>
      <c r="I36" s="13">
        <f>IF($B36="","",IF(INDEX(Grid!$U$4:$U$63,$B36)="","",INDEX(Grid!$U$4:$U$63,$B36)))</f>
        <v/>
      </c>
      <c r="J36" s="13">
        <f>IF($B36="","",IF(INDEX(Grid!$M$4:$M$63,$B36)="","",INDEX(Grid!$M$4:$M$63,$B36)))</f>
        <v/>
      </c>
      <c r="K36" s="13">
        <f>IF($B36="","",IF(INDEX(Grid!$N$4:$N$63,$B36)="","",INDEX(Grid!$N$4:$N$63,$B36)))</f>
        <v/>
      </c>
    </row>
    <row r="37">
      <c r="A37" s="13">
        <f>IF(B37="","","R34")</f>
        <v/>
      </c>
      <c r="B37" s="13">
        <f>IFERROR(MATCH(LARGE(Grid!$W$4:$W$63,34),Grid!$W$4:$W$63,0),"")</f>
        <v/>
      </c>
      <c r="C37" s="13">
        <f>IF($B37="","",IF(INDEX(Grid!$C$4:$C$63,$B37)="","",INDEX(Grid!$C$4:$C$63,$B37)))</f>
        <v/>
      </c>
      <c r="D37" s="13">
        <f>IF($B37="","",IF(INDEX(Grid!$F$4:$F$63,$B37)="","",INDEX(Grid!$F$4:$F$63,$B37)))</f>
        <v/>
      </c>
      <c r="E37" s="13">
        <f>IF($B37="","",IF(INDEX(Grid!$I$4:$I$63,$B37)="","",INDEX(Grid!$I$4:$I$63,$B37)))</f>
        <v/>
      </c>
      <c r="F37" s="13">
        <f>IF($B37="","",IF(INDEX(Grid!$J$4:$J$63,$B37)="","",INDEX(Grid!$J$4:$J$63,$B37)))</f>
        <v/>
      </c>
      <c r="G37" s="13">
        <f>IF($B37="","",IF(INDEX(Grid!$K$4:$K$63,$B37)="","",INDEX(Grid!$K$4:$K$63,$B37)))</f>
        <v/>
      </c>
      <c r="H37" s="13">
        <f>IF($B37="","",IF(INDEX(Grid!$L$4:$L$63,$B37)="","",INDEX(Grid!$L$4:$L$63,$B37)))</f>
        <v/>
      </c>
      <c r="I37" s="13">
        <f>IF($B37="","",IF(INDEX(Grid!$U$4:$U$63,$B37)="","",INDEX(Grid!$U$4:$U$63,$B37)))</f>
        <v/>
      </c>
      <c r="J37" s="13">
        <f>IF($B37="","",IF(INDEX(Grid!$M$4:$M$63,$B37)="","",INDEX(Grid!$M$4:$M$63,$B37)))</f>
        <v/>
      </c>
      <c r="K37" s="13">
        <f>IF($B37="","",IF(INDEX(Grid!$N$4:$N$63,$B37)="","",INDEX(Grid!$N$4:$N$63,$B37)))</f>
        <v/>
      </c>
    </row>
    <row r="38">
      <c r="A38" s="13">
        <f>IF(B38="","","R35")</f>
        <v/>
      </c>
      <c r="B38" s="13">
        <f>IFERROR(MATCH(LARGE(Grid!$W$4:$W$63,35),Grid!$W$4:$W$63,0),"")</f>
        <v/>
      </c>
      <c r="C38" s="13">
        <f>IF($B38="","",IF(INDEX(Grid!$C$4:$C$63,$B38)="","",INDEX(Grid!$C$4:$C$63,$B38)))</f>
        <v/>
      </c>
      <c r="D38" s="13">
        <f>IF($B38="","",IF(INDEX(Grid!$F$4:$F$63,$B38)="","",INDEX(Grid!$F$4:$F$63,$B38)))</f>
        <v/>
      </c>
      <c r="E38" s="13">
        <f>IF($B38="","",IF(INDEX(Grid!$I$4:$I$63,$B38)="","",INDEX(Grid!$I$4:$I$63,$B38)))</f>
        <v/>
      </c>
      <c r="F38" s="13">
        <f>IF($B38="","",IF(INDEX(Grid!$J$4:$J$63,$B38)="","",INDEX(Grid!$J$4:$J$63,$B38)))</f>
        <v/>
      </c>
      <c r="G38" s="13">
        <f>IF($B38="","",IF(INDEX(Grid!$K$4:$K$63,$B38)="","",INDEX(Grid!$K$4:$K$63,$B38)))</f>
        <v/>
      </c>
      <c r="H38" s="13">
        <f>IF($B38="","",IF(INDEX(Grid!$L$4:$L$63,$B38)="","",INDEX(Grid!$L$4:$L$63,$B38)))</f>
        <v/>
      </c>
      <c r="I38" s="13">
        <f>IF($B38="","",IF(INDEX(Grid!$U$4:$U$63,$B38)="","",INDEX(Grid!$U$4:$U$63,$B38)))</f>
        <v/>
      </c>
      <c r="J38" s="13">
        <f>IF($B38="","",IF(INDEX(Grid!$M$4:$M$63,$B38)="","",INDEX(Grid!$M$4:$M$63,$B38)))</f>
        <v/>
      </c>
      <c r="K38" s="13">
        <f>IF($B38="","",IF(INDEX(Grid!$N$4:$N$63,$B38)="","",INDEX(Grid!$N$4:$N$63,$B38)))</f>
        <v/>
      </c>
    </row>
    <row r="39">
      <c r="A39" s="13">
        <f>IF(B39="","","R36")</f>
        <v/>
      </c>
      <c r="B39" s="13">
        <f>IFERROR(MATCH(LARGE(Grid!$W$4:$W$63,36),Grid!$W$4:$W$63,0),"")</f>
        <v/>
      </c>
      <c r="C39" s="13">
        <f>IF($B39="","",IF(INDEX(Grid!$C$4:$C$63,$B39)="","",INDEX(Grid!$C$4:$C$63,$B39)))</f>
        <v/>
      </c>
      <c r="D39" s="13">
        <f>IF($B39="","",IF(INDEX(Grid!$F$4:$F$63,$B39)="","",INDEX(Grid!$F$4:$F$63,$B39)))</f>
        <v/>
      </c>
      <c r="E39" s="13">
        <f>IF($B39="","",IF(INDEX(Grid!$I$4:$I$63,$B39)="","",INDEX(Grid!$I$4:$I$63,$B39)))</f>
        <v/>
      </c>
      <c r="F39" s="13">
        <f>IF($B39="","",IF(INDEX(Grid!$J$4:$J$63,$B39)="","",INDEX(Grid!$J$4:$J$63,$B39)))</f>
        <v/>
      </c>
      <c r="G39" s="13">
        <f>IF($B39="","",IF(INDEX(Grid!$K$4:$K$63,$B39)="","",INDEX(Grid!$K$4:$K$63,$B39)))</f>
        <v/>
      </c>
      <c r="H39" s="13">
        <f>IF($B39="","",IF(INDEX(Grid!$L$4:$L$63,$B39)="","",INDEX(Grid!$L$4:$L$63,$B39)))</f>
        <v/>
      </c>
      <c r="I39" s="13">
        <f>IF($B39="","",IF(INDEX(Grid!$U$4:$U$63,$B39)="","",INDEX(Grid!$U$4:$U$63,$B39)))</f>
        <v/>
      </c>
      <c r="J39" s="13">
        <f>IF($B39="","",IF(INDEX(Grid!$M$4:$M$63,$B39)="","",INDEX(Grid!$M$4:$M$63,$B39)))</f>
        <v/>
      </c>
      <c r="K39" s="13">
        <f>IF($B39="","",IF(INDEX(Grid!$N$4:$N$63,$B39)="","",INDEX(Grid!$N$4:$N$63,$B39)))</f>
        <v/>
      </c>
    </row>
    <row r="40">
      <c r="A40" s="13">
        <f>IF(B40="","","R37")</f>
        <v/>
      </c>
      <c r="B40" s="13">
        <f>IFERROR(MATCH(LARGE(Grid!$W$4:$W$63,37),Grid!$W$4:$W$63,0),"")</f>
        <v/>
      </c>
      <c r="C40" s="13">
        <f>IF($B40="","",IF(INDEX(Grid!$C$4:$C$63,$B40)="","",INDEX(Grid!$C$4:$C$63,$B40)))</f>
        <v/>
      </c>
      <c r="D40" s="13">
        <f>IF($B40="","",IF(INDEX(Grid!$F$4:$F$63,$B40)="","",INDEX(Grid!$F$4:$F$63,$B40)))</f>
        <v/>
      </c>
      <c r="E40" s="13">
        <f>IF($B40="","",IF(INDEX(Grid!$I$4:$I$63,$B40)="","",INDEX(Grid!$I$4:$I$63,$B40)))</f>
        <v/>
      </c>
      <c r="F40" s="13">
        <f>IF($B40="","",IF(INDEX(Grid!$J$4:$J$63,$B40)="","",INDEX(Grid!$J$4:$J$63,$B40)))</f>
        <v/>
      </c>
      <c r="G40" s="13">
        <f>IF($B40="","",IF(INDEX(Grid!$K$4:$K$63,$B40)="","",INDEX(Grid!$K$4:$K$63,$B40)))</f>
        <v/>
      </c>
      <c r="H40" s="13">
        <f>IF($B40="","",IF(INDEX(Grid!$L$4:$L$63,$B40)="","",INDEX(Grid!$L$4:$L$63,$B40)))</f>
        <v/>
      </c>
      <c r="I40" s="13">
        <f>IF($B40="","",IF(INDEX(Grid!$U$4:$U$63,$B40)="","",INDEX(Grid!$U$4:$U$63,$B40)))</f>
        <v/>
      </c>
      <c r="J40" s="13">
        <f>IF($B40="","",IF(INDEX(Grid!$M$4:$M$63,$B40)="","",INDEX(Grid!$M$4:$M$63,$B40)))</f>
        <v/>
      </c>
      <c r="K40" s="13">
        <f>IF($B40="","",IF(INDEX(Grid!$N$4:$N$63,$B40)="","",INDEX(Grid!$N$4:$N$63,$B40)))</f>
        <v/>
      </c>
    </row>
    <row r="41">
      <c r="A41" s="13">
        <f>IF(B41="","","R38")</f>
        <v/>
      </c>
      <c r="B41" s="13">
        <f>IFERROR(MATCH(LARGE(Grid!$W$4:$W$63,38),Grid!$W$4:$W$63,0),"")</f>
        <v/>
      </c>
      <c r="C41" s="13">
        <f>IF($B41="","",IF(INDEX(Grid!$C$4:$C$63,$B41)="","",INDEX(Grid!$C$4:$C$63,$B41)))</f>
        <v/>
      </c>
      <c r="D41" s="13">
        <f>IF($B41="","",IF(INDEX(Grid!$F$4:$F$63,$B41)="","",INDEX(Grid!$F$4:$F$63,$B41)))</f>
        <v/>
      </c>
      <c r="E41" s="13">
        <f>IF($B41="","",IF(INDEX(Grid!$I$4:$I$63,$B41)="","",INDEX(Grid!$I$4:$I$63,$B41)))</f>
        <v/>
      </c>
      <c r="F41" s="13">
        <f>IF($B41="","",IF(INDEX(Grid!$J$4:$J$63,$B41)="","",INDEX(Grid!$J$4:$J$63,$B41)))</f>
        <v/>
      </c>
      <c r="G41" s="13">
        <f>IF($B41="","",IF(INDEX(Grid!$K$4:$K$63,$B41)="","",INDEX(Grid!$K$4:$K$63,$B41)))</f>
        <v/>
      </c>
      <c r="H41" s="13">
        <f>IF($B41="","",IF(INDEX(Grid!$L$4:$L$63,$B41)="","",INDEX(Grid!$L$4:$L$63,$B41)))</f>
        <v/>
      </c>
      <c r="I41" s="13">
        <f>IF($B41="","",IF(INDEX(Grid!$U$4:$U$63,$B41)="","",INDEX(Grid!$U$4:$U$63,$B41)))</f>
        <v/>
      </c>
      <c r="J41" s="13">
        <f>IF($B41="","",IF(INDEX(Grid!$M$4:$M$63,$B41)="","",INDEX(Grid!$M$4:$M$63,$B41)))</f>
        <v/>
      </c>
      <c r="K41" s="13">
        <f>IF($B41="","",IF(INDEX(Grid!$N$4:$N$63,$B41)="","",INDEX(Grid!$N$4:$N$63,$B41)))</f>
        <v/>
      </c>
    </row>
    <row r="42">
      <c r="A42" s="13">
        <f>IF(B42="","","R39")</f>
        <v/>
      </c>
      <c r="B42" s="13">
        <f>IFERROR(MATCH(LARGE(Grid!$W$4:$W$63,39),Grid!$W$4:$W$63,0),"")</f>
        <v/>
      </c>
      <c r="C42" s="13">
        <f>IF($B42="","",IF(INDEX(Grid!$C$4:$C$63,$B42)="","",INDEX(Grid!$C$4:$C$63,$B42)))</f>
        <v/>
      </c>
      <c r="D42" s="13">
        <f>IF($B42="","",IF(INDEX(Grid!$F$4:$F$63,$B42)="","",INDEX(Grid!$F$4:$F$63,$B42)))</f>
        <v/>
      </c>
      <c r="E42" s="13">
        <f>IF($B42="","",IF(INDEX(Grid!$I$4:$I$63,$B42)="","",INDEX(Grid!$I$4:$I$63,$B42)))</f>
        <v/>
      </c>
      <c r="F42" s="13">
        <f>IF($B42="","",IF(INDEX(Grid!$J$4:$J$63,$B42)="","",INDEX(Grid!$J$4:$J$63,$B42)))</f>
        <v/>
      </c>
      <c r="G42" s="13">
        <f>IF($B42="","",IF(INDEX(Grid!$K$4:$K$63,$B42)="","",INDEX(Grid!$K$4:$K$63,$B42)))</f>
        <v/>
      </c>
      <c r="H42" s="13">
        <f>IF($B42="","",IF(INDEX(Grid!$L$4:$L$63,$B42)="","",INDEX(Grid!$L$4:$L$63,$B42)))</f>
        <v/>
      </c>
      <c r="I42" s="13">
        <f>IF($B42="","",IF(INDEX(Grid!$U$4:$U$63,$B42)="","",INDEX(Grid!$U$4:$U$63,$B42)))</f>
        <v/>
      </c>
      <c r="J42" s="13">
        <f>IF($B42="","",IF(INDEX(Grid!$M$4:$M$63,$B42)="","",INDEX(Grid!$M$4:$M$63,$B42)))</f>
        <v/>
      </c>
      <c r="K42" s="13">
        <f>IF($B42="","",IF(INDEX(Grid!$N$4:$N$63,$B42)="","",INDEX(Grid!$N$4:$N$63,$B42)))</f>
        <v/>
      </c>
    </row>
    <row r="43">
      <c r="A43" s="13">
        <f>IF(B43="","","R40")</f>
        <v/>
      </c>
      <c r="B43" s="13">
        <f>IFERROR(MATCH(LARGE(Grid!$W$4:$W$63,40),Grid!$W$4:$W$63,0),"")</f>
        <v/>
      </c>
      <c r="C43" s="13">
        <f>IF($B43="","",IF(INDEX(Grid!$C$4:$C$63,$B43)="","",INDEX(Grid!$C$4:$C$63,$B43)))</f>
        <v/>
      </c>
      <c r="D43" s="13">
        <f>IF($B43="","",IF(INDEX(Grid!$F$4:$F$63,$B43)="","",INDEX(Grid!$F$4:$F$63,$B43)))</f>
        <v/>
      </c>
      <c r="E43" s="13">
        <f>IF($B43="","",IF(INDEX(Grid!$I$4:$I$63,$B43)="","",INDEX(Grid!$I$4:$I$63,$B43)))</f>
        <v/>
      </c>
      <c r="F43" s="13">
        <f>IF($B43="","",IF(INDEX(Grid!$J$4:$J$63,$B43)="","",INDEX(Grid!$J$4:$J$63,$B43)))</f>
        <v/>
      </c>
      <c r="G43" s="13">
        <f>IF($B43="","",IF(INDEX(Grid!$K$4:$K$63,$B43)="","",INDEX(Grid!$K$4:$K$63,$B43)))</f>
        <v/>
      </c>
      <c r="H43" s="13">
        <f>IF($B43="","",IF(INDEX(Grid!$L$4:$L$63,$B43)="","",INDEX(Grid!$L$4:$L$63,$B43)))</f>
        <v/>
      </c>
      <c r="I43" s="13">
        <f>IF($B43="","",IF(INDEX(Grid!$U$4:$U$63,$B43)="","",INDEX(Grid!$U$4:$U$63,$B43)))</f>
        <v/>
      </c>
      <c r="J43" s="13">
        <f>IF($B43="","",IF(INDEX(Grid!$M$4:$M$63,$B43)="","",INDEX(Grid!$M$4:$M$63,$B43)))</f>
        <v/>
      </c>
      <c r="K43" s="13">
        <f>IF($B43="","",IF(INDEX(Grid!$N$4:$N$63,$B43)="","",INDEX(Grid!$N$4:$N$63,$B43)))</f>
        <v/>
      </c>
    </row>
  </sheetData>
  <conditionalFormatting sqref="D4:D43">
    <cfRule type="cellIs" priority="1" operator="equal" dxfId="6">
      <formula>"Problem"</formula>
    </cfRule>
    <cfRule type="cellIs" priority="2" operator="equal" dxfId="7">
      <formula>"Watch"</formula>
    </cfRule>
    <cfRule type="cellIs" priority="3" operator="equal" dxfId="8">
      <formula>"Unknown"</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53"/>
  <sheetViews>
    <sheetView workbookViewId="0">
      <pane ySplit="3" topLeftCell="A4" activePane="bottomLeft" state="frozen"/>
      <selection pane="bottomLeft" activeCell="A1" sqref="A1"/>
    </sheetView>
  </sheetViews>
  <sheetFormatPr baseColWidth="8" defaultRowHeight="15"/>
  <cols>
    <col width="6" customWidth="1" min="1" max="1"/>
    <col width="8" customWidth="1" min="2" max="2"/>
    <col width="34" customWidth="1" min="3" max="3"/>
    <col width="16" customWidth="1" min="4" max="4"/>
    <col width="60" customWidth="1" min="5" max="5"/>
    <col width="34" customWidth="1" min="6" max="6"/>
    <col width="12" customWidth="1" min="7" max="7"/>
    <col width="11" customWidth="1" min="8" max="8"/>
    <col width="44" customWidth="1" min="9" max="9"/>
    <col width="16" customWidth="1" min="10" max="10"/>
    <col width="13" customWidth="1" min="11" max="11"/>
  </cols>
  <sheetData>
    <row r="1">
      <c r="A1" s="14" t="inlineStr">
        <is>
          <t>Clarifying questions — to the row's owner</t>
        </is>
      </c>
    </row>
    <row r="2">
      <c r="A2" s="16" t="inlineStr">
        <is>
          <t>One ask per question, naming the grid row it closes and what it moves. Open → Asked → Answered → Closed; apply each answer to the grid and the change log before closing it.</t>
        </is>
      </c>
    </row>
    <row r="3">
      <c r="A3" s="17" t="inlineStr">
        <is>
          <t>Q#</t>
        </is>
      </c>
      <c r="B3" s="17" t="inlineStr">
        <is>
          <t>Grid #</t>
        </is>
      </c>
      <c r="C3" s="18" t="inlineStr">
        <is>
          <t>Characteristic (from the grid)</t>
        </is>
      </c>
      <c r="D3" s="17" t="inlineStr">
        <is>
          <t>To (owner)</t>
        </is>
      </c>
      <c r="E3" s="17" t="inlineStr">
        <is>
          <t>Question</t>
        </is>
      </c>
      <c r="F3" s="17" t="inlineStr">
        <is>
          <t>Why it matters (closes or moves)</t>
        </is>
      </c>
      <c r="G3" s="17" t="inlineStr">
        <is>
          <t>Raised</t>
        </is>
      </c>
      <c r="H3" s="17" t="inlineStr">
        <is>
          <t>Status</t>
        </is>
      </c>
      <c r="I3" s="17" t="inlineStr">
        <is>
          <t>Answer</t>
        </is>
      </c>
      <c r="J3" s="17" t="inlineStr">
        <is>
          <t>Answered by</t>
        </is>
      </c>
      <c r="K3" s="17" t="inlineStr">
        <is>
          <t>Date answered</t>
        </is>
      </c>
    </row>
    <row r="4">
      <c r="A4" s="11" t="inlineStr">
        <is>
          <t>Q1</t>
        </is>
      </c>
      <c r="B4" s="11" t="n"/>
      <c r="C4" s="20">
        <f>IF(B4="","",IFERROR(IF(INDEX(Grid!$C$4:$C$63,B4)="","",INDEX(Grid!$C$4:$C$63,B4)),""))</f>
        <v/>
      </c>
      <c r="D4" s="11" t="n"/>
      <c r="E4" s="12" t="n"/>
      <c r="F4" s="12" t="n"/>
      <c r="G4" s="11" t="n"/>
      <c r="H4" s="11" t="n"/>
      <c r="I4" s="12" t="n"/>
      <c r="J4" s="11" t="n"/>
      <c r="K4" s="11" t="n"/>
    </row>
    <row r="5">
      <c r="A5" s="11" t="inlineStr">
        <is>
          <t>Q2</t>
        </is>
      </c>
      <c r="B5" s="11" t="n"/>
      <c r="C5" s="20">
        <f>IF(B5="","",IFERROR(IF(INDEX(Grid!$C$4:$C$63,B5)="","",INDEX(Grid!$C$4:$C$63,B5)),""))</f>
        <v/>
      </c>
      <c r="D5" s="11" t="n"/>
      <c r="E5" s="12" t="n"/>
      <c r="F5" s="12" t="n"/>
      <c r="G5" s="11" t="n"/>
      <c r="H5" s="11" t="n"/>
      <c r="I5" s="12" t="n"/>
      <c r="J5" s="11" t="n"/>
      <c r="K5" s="11" t="n"/>
    </row>
    <row r="6">
      <c r="A6" s="11" t="inlineStr">
        <is>
          <t>Q3</t>
        </is>
      </c>
      <c r="B6" s="11" t="n"/>
      <c r="C6" s="20">
        <f>IF(B6="","",IFERROR(IF(INDEX(Grid!$C$4:$C$63,B6)="","",INDEX(Grid!$C$4:$C$63,B6)),""))</f>
        <v/>
      </c>
      <c r="D6" s="11" t="n"/>
      <c r="E6" s="12" t="n"/>
      <c r="F6" s="12" t="n"/>
      <c r="G6" s="11" t="n"/>
      <c r="H6" s="11" t="n"/>
      <c r="I6" s="12" t="n"/>
      <c r="J6" s="11" t="n"/>
      <c r="K6" s="11" t="n"/>
    </row>
    <row r="7">
      <c r="A7" s="11" t="inlineStr">
        <is>
          <t>Q4</t>
        </is>
      </c>
      <c r="B7" s="11" t="n"/>
      <c r="C7" s="20">
        <f>IF(B7="","",IFERROR(IF(INDEX(Grid!$C$4:$C$63,B7)="","",INDEX(Grid!$C$4:$C$63,B7)),""))</f>
        <v/>
      </c>
      <c r="D7" s="11" t="n"/>
      <c r="E7" s="12" t="n"/>
      <c r="F7" s="12" t="n"/>
      <c r="G7" s="11" t="n"/>
      <c r="H7" s="11" t="n"/>
      <c r="I7" s="12" t="n"/>
      <c r="J7" s="11" t="n"/>
      <c r="K7" s="11" t="n"/>
    </row>
    <row r="8">
      <c r="A8" s="11" t="inlineStr">
        <is>
          <t>Q5</t>
        </is>
      </c>
      <c r="B8" s="11" t="n"/>
      <c r="C8" s="20">
        <f>IF(B8="","",IFERROR(IF(INDEX(Grid!$C$4:$C$63,B8)="","",INDEX(Grid!$C$4:$C$63,B8)),""))</f>
        <v/>
      </c>
      <c r="D8" s="11" t="n"/>
      <c r="E8" s="12" t="n"/>
      <c r="F8" s="12" t="n"/>
      <c r="G8" s="11" t="n"/>
      <c r="H8" s="11" t="n"/>
      <c r="I8" s="12" t="n"/>
      <c r="J8" s="11" t="n"/>
      <c r="K8" s="11" t="n"/>
    </row>
    <row r="9">
      <c r="A9" s="11" t="inlineStr">
        <is>
          <t>Q6</t>
        </is>
      </c>
      <c r="B9" s="11" t="n"/>
      <c r="C9" s="20">
        <f>IF(B9="","",IFERROR(IF(INDEX(Grid!$C$4:$C$63,B9)="","",INDEX(Grid!$C$4:$C$63,B9)),""))</f>
        <v/>
      </c>
      <c r="D9" s="11" t="n"/>
      <c r="E9" s="12" t="n"/>
      <c r="F9" s="12" t="n"/>
      <c r="G9" s="11" t="n"/>
      <c r="H9" s="11" t="n"/>
      <c r="I9" s="12" t="n"/>
      <c r="J9" s="11" t="n"/>
      <c r="K9" s="11" t="n"/>
    </row>
    <row r="10">
      <c r="A10" s="11" t="inlineStr">
        <is>
          <t>Q7</t>
        </is>
      </c>
      <c r="B10" s="11" t="n"/>
      <c r="C10" s="20">
        <f>IF(B10="","",IFERROR(IF(INDEX(Grid!$C$4:$C$63,B10)="","",INDEX(Grid!$C$4:$C$63,B10)),""))</f>
        <v/>
      </c>
      <c r="D10" s="11" t="n"/>
      <c r="E10" s="12" t="n"/>
      <c r="F10" s="12" t="n"/>
      <c r="G10" s="11" t="n"/>
      <c r="H10" s="11" t="n"/>
      <c r="I10" s="12" t="n"/>
      <c r="J10" s="11" t="n"/>
      <c r="K10" s="11" t="n"/>
    </row>
    <row r="11">
      <c r="A11" s="11" t="inlineStr">
        <is>
          <t>Q8</t>
        </is>
      </c>
      <c r="B11" s="11" t="n"/>
      <c r="C11" s="20">
        <f>IF(B11="","",IFERROR(IF(INDEX(Grid!$C$4:$C$63,B11)="","",INDEX(Grid!$C$4:$C$63,B11)),""))</f>
        <v/>
      </c>
      <c r="D11" s="11" t="n"/>
      <c r="E11" s="12" t="n"/>
      <c r="F11" s="12" t="n"/>
      <c r="G11" s="11" t="n"/>
      <c r="H11" s="11" t="n"/>
      <c r="I11" s="12" t="n"/>
      <c r="J11" s="11" t="n"/>
      <c r="K11" s="11" t="n"/>
    </row>
    <row r="12">
      <c r="A12" s="11" t="inlineStr">
        <is>
          <t>Q9</t>
        </is>
      </c>
      <c r="B12" s="11" t="n"/>
      <c r="C12" s="20">
        <f>IF(B12="","",IFERROR(IF(INDEX(Grid!$C$4:$C$63,B12)="","",INDEX(Grid!$C$4:$C$63,B12)),""))</f>
        <v/>
      </c>
      <c r="D12" s="11" t="n"/>
      <c r="E12" s="12" t="n"/>
      <c r="F12" s="12" t="n"/>
      <c r="G12" s="11" t="n"/>
      <c r="H12" s="11" t="n"/>
      <c r="I12" s="12" t="n"/>
      <c r="J12" s="11" t="n"/>
      <c r="K12" s="11" t="n"/>
    </row>
    <row r="13">
      <c r="A13" s="11" t="inlineStr">
        <is>
          <t>Q10</t>
        </is>
      </c>
      <c r="B13" s="11" t="n"/>
      <c r="C13" s="20">
        <f>IF(B13="","",IFERROR(IF(INDEX(Grid!$C$4:$C$63,B13)="","",INDEX(Grid!$C$4:$C$63,B13)),""))</f>
        <v/>
      </c>
      <c r="D13" s="11" t="n"/>
      <c r="E13" s="12" t="n"/>
      <c r="F13" s="12" t="n"/>
      <c r="G13" s="11" t="n"/>
      <c r="H13" s="11" t="n"/>
      <c r="I13" s="12" t="n"/>
      <c r="J13" s="11" t="n"/>
      <c r="K13" s="11" t="n"/>
    </row>
    <row r="14">
      <c r="A14" s="11" t="inlineStr">
        <is>
          <t>Q11</t>
        </is>
      </c>
      <c r="B14" s="11" t="n"/>
      <c r="C14" s="20">
        <f>IF(B14="","",IFERROR(IF(INDEX(Grid!$C$4:$C$63,B14)="","",INDEX(Grid!$C$4:$C$63,B14)),""))</f>
        <v/>
      </c>
      <c r="D14" s="11" t="n"/>
      <c r="E14" s="12" t="n"/>
      <c r="F14" s="12" t="n"/>
      <c r="G14" s="11" t="n"/>
      <c r="H14" s="11" t="n"/>
      <c r="I14" s="12" t="n"/>
      <c r="J14" s="11" t="n"/>
      <c r="K14" s="11" t="n"/>
    </row>
    <row r="15">
      <c r="A15" s="11" t="inlineStr">
        <is>
          <t>Q12</t>
        </is>
      </c>
      <c r="B15" s="11" t="n"/>
      <c r="C15" s="20">
        <f>IF(B15="","",IFERROR(IF(INDEX(Grid!$C$4:$C$63,B15)="","",INDEX(Grid!$C$4:$C$63,B15)),""))</f>
        <v/>
      </c>
      <c r="D15" s="11" t="n"/>
      <c r="E15" s="12" t="n"/>
      <c r="F15" s="12" t="n"/>
      <c r="G15" s="11" t="n"/>
      <c r="H15" s="11" t="n"/>
      <c r="I15" s="12" t="n"/>
      <c r="J15" s="11" t="n"/>
      <c r="K15" s="11" t="n"/>
    </row>
    <row r="16">
      <c r="A16" s="11" t="inlineStr">
        <is>
          <t>Q13</t>
        </is>
      </c>
      <c r="B16" s="11" t="n"/>
      <c r="C16" s="20">
        <f>IF(B16="","",IFERROR(IF(INDEX(Grid!$C$4:$C$63,B16)="","",INDEX(Grid!$C$4:$C$63,B16)),""))</f>
        <v/>
      </c>
      <c r="D16" s="11" t="n"/>
      <c r="E16" s="12" t="n"/>
      <c r="F16" s="12" t="n"/>
      <c r="G16" s="11" t="n"/>
      <c r="H16" s="11" t="n"/>
      <c r="I16" s="12" t="n"/>
      <c r="J16" s="11" t="n"/>
      <c r="K16" s="11" t="n"/>
    </row>
    <row r="17">
      <c r="A17" s="11" t="inlineStr">
        <is>
          <t>Q14</t>
        </is>
      </c>
      <c r="B17" s="11" t="n"/>
      <c r="C17" s="20">
        <f>IF(B17="","",IFERROR(IF(INDEX(Grid!$C$4:$C$63,B17)="","",INDEX(Grid!$C$4:$C$63,B17)),""))</f>
        <v/>
      </c>
      <c r="D17" s="11" t="n"/>
      <c r="E17" s="12" t="n"/>
      <c r="F17" s="12" t="n"/>
      <c r="G17" s="11" t="n"/>
      <c r="H17" s="11" t="n"/>
      <c r="I17" s="12" t="n"/>
      <c r="J17" s="11" t="n"/>
      <c r="K17" s="11" t="n"/>
    </row>
    <row r="18">
      <c r="A18" s="11" t="inlineStr">
        <is>
          <t>Q15</t>
        </is>
      </c>
      <c r="B18" s="11" t="n"/>
      <c r="C18" s="20">
        <f>IF(B18="","",IFERROR(IF(INDEX(Grid!$C$4:$C$63,B18)="","",INDEX(Grid!$C$4:$C$63,B18)),""))</f>
        <v/>
      </c>
      <c r="D18" s="11" t="n"/>
      <c r="E18" s="12" t="n"/>
      <c r="F18" s="12" t="n"/>
      <c r="G18" s="11" t="n"/>
      <c r="H18" s="11" t="n"/>
      <c r="I18" s="12" t="n"/>
      <c r="J18" s="11" t="n"/>
      <c r="K18" s="11" t="n"/>
    </row>
    <row r="19">
      <c r="A19" s="11" t="inlineStr">
        <is>
          <t>Q16</t>
        </is>
      </c>
      <c r="B19" s="11" t="n"/>
      <c r="C19" s="20">
        <f>IF(B19="","",IFERROR(IF(INDEX(Grid!$C$4:$C$63,B19)="","",INDEX(Grid!$C$4:$C$63,B19)),""))</f>
        <v/>
      </c>
      <c r="D19" s="11" t="n"/>
      <c r="E19" s="12" t="n"/>
      <c r="F19" s="12" t="n"/>
      <c r="G19" s="11" t="n"/>
      <c r="H19" s="11" t="n"/>
      <c r="I19" s="12" t="n"/>
      <c r="J19" s="11" t="n"/>
      <c r="K19" s="11" t="n"/>
    </row>
    <row r="20">
      <c r="A20" s="11" t="inlineStr">
        <is>
          <t>Q17</t>
        </is>
      </c>
      <c r="B20" s="11" t="n"/>
      <c r="C20" s="20">
        <f>IF(B20="","",IFERROR(IF(INDEX(Grid!$C$4:$C$63,B20)="","",INDEX(Grid!$C$4:$C$63,B20)),""))</f>
        <v/>
      </c>
      <c r="D20" s="11" t="n"/>
      <c r="E20" s="12" t="n"/>
      <c r="F20" s="12" t="n"/>
      <c r="G20" s="11" t="n"/>
      <c r="H20" s="11" t="n"/>
      <c r="I20" s="12" t="n"/>
      <c r="J20" s="11" t="n"/>
      <c r="K20" s="11" t="n"/>
    </row>
    <row r="21">
      <c r="A21" s="11" t="inlineStr">
        <is>
          <t>Q18</t>
        </is>
      </c>
      <c r="B21" s="11" t="n"/>
      <c r="C21" s="20">
        <f>IF(B21="","",IFERROR(IF(INDEX(Grid!$C$4:$C$63,B21)="","",INDEX(Grid!$C$4:$C$63,B21)),""))</f>
        <v/>
      </c>
      <c r="D21" s="11" t="n"/>
      <c r="E21" s="12" t="n"/>
      <c r="F21" s="12" t="n"/>
      <c r="G21" s="11" t="n"/>
      <c r="H21" s="11" t="n"/>
      <c r="I21" s="12" t="n"/>
      <c r="J21" s="11" t="n"/>
      <c r="K21" s="11" t="n"/>
    </row>
    <row r="22">
      <c r="A22" s="11" t="inlineStr">
        <is>
          <t>Q19</t>
        </is>
      </c>
      <c r="B22" s="11" t="n"/>
      <c r="C22" s="20">
        <f>IF(B22="","",IFERROR(IF(INDEX(Grid!$C$4:$C$63,B22)="","",INDEX(Grid!$C$4:$C$63,B22)),""))</f>
        <v/>
      </c>
      <c r="D22" s="11" t="n"/>
      <c r="E22" s="12" t="n"/>
      <c r="F22" s="12" t="n"/>
      <c r="G22" s="11" t="n"/>
      <c r="H22" s="11" t="n"/>
      <c r="I22" s="12" t="n"/>
      <c r="J22" s="11" t="n"/>
      <c r="K22" s="11" t="n"/>
    </row>
    <row r="23">
      <c r="A23" s="11" t="inlineStr">
        <is>
          <t>Q20</t>
        </is>
      </c>
      <c r="B23" s="11" t="n"/>
      <c r="C23" s="20">
        <f>IF(B23="","",IFERROR(IF(INDEX(Grid!$C$4:$C$63,B23)="","",INDEX(Grid!$C$4:$C$63,B23)),""))</f>
        <v/>
      </c>
      <c r="D23" s="11" t="n"/>
      <c r="E23" s="12" t="n"/>
      <c r="F23" s="12" t="n"/>
      <c r="G23" s="11" t="n"/>
      <c r="H23" s="11" t="n"/>
      <c r="I23" s="12" t="n"/>
      <c r="J23" s="11" t="n"/>
      <c r="K23" s="11" t="n"/>
    </row>
    <row r="24">
      <c r="A24" s="11" t="inlineStr">
        <is>
          <t>Q21</t>
        </is>
      </c>
      <c r="B24" s="11" t="n"/>
      <c r="C24" s="20">
        <f>IF(B24="","",IFERROR(IF(INDEX(Grid!$C$4:$C$63,B24)="","",INDEX(Grid!$C$4:$C$63,B24)),""))</f>
        <v/>
      </c>
      <c r="D24" s="11" t="n"/>
      <c r="E24" s="12" t="n"/>
      <c r="F24" s="12" t="n"/>
      <c r="G24" s="11" t="n"/>
      <c r="H24" s="11" t="n"/>
      <c r="I24" s="12" t="n"/>
      <c r="J24" s="11" t="n"/>
      <c r="K24" s="11" t="n"/>
    </row>
    <row r="25">
      <c r="A25" s="11" t="inlineStr">
        <is>
          <t>Q22</t>
        </is>
      </c>
      <c r="B25" s="11" t="n"/>
      <c r="C25" s="20">
        <f>IF(B25="","",IFERROR(IF(INDEX(Grid!$C$4:$C$63,B25)="","",INDEX(Grid!$C$4:$C$63,B25)),""))</f>
        <v/>
      </c>
      <c r="D25" s="11" t="n"/>
      <c r="E25" s="12" t="n"/>
      <c r="F25" s="12" t="n"/>
      <c r="G25" s="11" t="n"/>
      <c r="H25" s="11" t="n"/>
      <c r="I25" s="12" t="n"/>
      <c r="J25" s="11" t="n"/>
      <c r="K25" s="11" t="n"/>
    </row>
    <row r="26">
      <c r="A26" s="11" t="inlineStr">
        <is>
          <t>Q23</t>
        </is>
      </c>
      <c r="B26" s="11" t="n"/>
      <c r="C26" s="20">
        <f>IF(B26="","",IFERROR(IF(INDEX(Grid!$C$4:$C$63,B26)="","",INDEX(Grid!$C$4:$C$63,B26)),""))</f>
        <v/>
      </c>
      <c r="D26" s="11" t="n"/>
      <c r="E26" s="12" t="n"/>
      <c r="F26" s="12" t="n"/>
      <c r="G26" s="11" t="n"/>
      <c r="H26" s="11" t="n"/>
      <c r="I26" s="12" t="n"/>
      <c r="J26" s="11" t="n"/>
      <c r="K26" s="11" t="n"/>
    </row>
    <row r="27">
      <c r="A27" s="11" t="inlineStr">
        <is>
          <t>Q24</t>
        </is>
      </c>
      <c r="B27" s="11" t="n"/>
      <c r="C27" s="20">
        <f>IF(B27="","",IFERROR(IF(INDEX(Grid!$C$4:$C$63,B27)="","",INDEX(Grid!$C$4:$C$63,B27)),""))</f>
        <v/>
      </c>
      <c r="D27" s="11" t="n"/>
      <c r="E27" s="12" t="n"/>
      <c r="F27" s="12" t="n"/>
      <c r="G27" s="11" t="n"/>
      <c r="H27" s="11" t="n"/>
      <c r="I27" s="12" t="n"/>
      <c r="J27" s="11" t="n"/>
      <c r="K27" s="11" t="n"/>
    </row>
    <row r="28">
      <c r="A28" s="11" t="inlineStr">
        <is>
          <t>Q25</t>
        </is>
      </c>
      <c r="B28" s="11" t="n"/>
      <c r="C28" s="20">
        <f>IF(B28="","",IFERROR(IF(INDEX(Grid!$C$4:$C$63,B28)="","",INDEX(Grid!$C$4:$C$63,B28)),""))</f>
        <v/>
      </c>
      <c r="D28" s="11" t="n"/>
      <c r="E28" s="12" t="n"/>
      <c r="F28" s="12" t="n"/>
      <c r="G28" s="11" t="n"/>
      <c r="H28" s="11" t="n"/>
      <c r="I28" s="12" t="n"/>
      <c r="J28" s="11" t="n"/>
      <c r="K28" s="11" t="n"/>
    </row>
    <row r="29">
      <c r="A29" s="11" t="inlineStr">
        <is>
          <t>Q26</t>
        </is>
      </c>
      <c r="B29" s="11" t="n"/>
      <c r="C29" s="20">
        <f>IF(B29="","",IFERROR(IF(INDEX(Grid!$C$4:$C$63,B29)="","",INDEX(Grid!$C$4:$C$63,B29)),""))</f>
        <v/>
      </c>
      <c r="D29" s="11" t="n"/>
      <c r="E29" s="12" t="n"/>
      <c r="F29" s="12" t="n"/>
      <c r="G29" s="11" t="n"/>
      <c r="H29" s="11" t="n"/>
      <c r="I29" s="12" t="n"/>
      <c r="J29" s="11" t="n"/>
      <c r="K29" s="11" t="n"/>
    </row>
    <row r="30">
      <c r="A30" s="11" t="inlineStr">
        <is>
          <t>Q27</t>
        </is>
      </c>
      <c r="B30" s="11" t="n"/>
      <c r="C30" s="20">
        <f>IF(B30="","",IFERROR(IF(INDEX(Grid!$C$4:$C$63,B30)="","",INDEX(Grid!$C$4:$C$63,B30)),""))</f>
        <v/>
      </c>
      <c r="D30" s="11" t="n"/>
      <c r="E30" s="12" t="n"/>
      <c r="F30" s="12" t="n"/>
      <c r="G30" s="11" t="n"/>
      <c r="H30" s="11" t="n"/>
      <c r="I30" s="12" t="n"/>
      <c r="J30" s="11" t="n"/>
      <c r="K30" s="11" t="n"/>
    </row>
    <row r="31">
      <c r="A31" s="11" t="inlineStr">
        <is>
          <t>Q28</t>
        </is>
      </c>
      <c r="B31" s="11" t="n"/>
      <c r="C31" s="20">
        <f>IF(B31="","",IFERROR(IF(INDEX(Grid!$C$4:$C$63,B31)="","",INDEX(Grid!$C$4:$C$63,B31)),""))</f>
        <v/>
      </c>
      <c r="D31" s="11" t="n"/>
      <c r="E31" s="12" t="n"/>
      <c r="F31" s="12" t="n"/>
      <c r="G31" s="11" t="n"/>
      <c r="H31" s="11" t="n"/>
      <c r="I31" s="12" t="n"/>
      <c r="J31" s="11" t="n"/>
      <c r="K31" s="11" t="n"/>
    </row>
    <row r="32">
      <c r="A32" s="11" t="inlineStr">
        <is>
          <t>Q29</t>
        </is>
      </c>
      <c r="B32" s="11" t="n"/>
      <c r="C32" s="20">
        <f>IF(B32="","",IFERROR(IF(INDEX(Grid!$C$4:$C$63,B32)="","",INDEX(Grid!$C$4:$C$63,B32)),""))</f>
        <v/>
      </c>
      <c r="D32" s="11" t="n"/>
      <c r="E32" s="12" t="n"/>
      <c r="F32" s="12" t="n"/>
      <c r="G32" s="11" t="n"/>
      <c r="H32" s="11" t="n"/>
      <c r="I32" s="12" t="n"/>
      <c r="J32" s="11" t="n"/>
      <c r="K32" s="11" t="n"/>
    </row>
    <row r="33">
      <c r="A33" s="11" t="inlineStr">
        <is>
          <t>Q30</t>
        </is>
      </c>
      <c r="B33" s="11" t="n"/>
      <c r="C33" s="20">
        <f>IF(B33="","",IFERROR(IF(INDEX(Grid!$C$4:$C$63,B33)="","",INDEX(Grid!$C$4:$C$63,B33)),""))</f>
        <v/>
      </c>
      <c r="D33" s="11" t="n"/>
      <c r="E33" s="12" t="n"/>
      <c r="F33" s="12" t="n"/>
      <c r="G33" s="11" t="n"/>
      <c r="H33" s="11" t="n"/>
      <c r="I33" s="12" t="n"/>
      <c r="J33" s="11" t="n"/>
      <c r="K33" s="11" t="n"/>
    </row>
    <row r="34">
      <c r="A34" s="11" t="inlineStr">
        <is>
          <t>Q31</t>
        </is>
      </c>
      <c r="B34" s="11" t="n"/>
      <c r="C34" s="20">
        <f>IF(B34="","",IFERROR(IF(INDEX(Grid!$C$4:$C$63,B34)="","",INDEX(Grid!$C$4:$C$63,B34)),""))</f>
        <v/>
      </c>
      <c r="D34" s="11" t="n"/>
      <c r="E34" s="12" t="n"/>
      <c r="F34" s="12" t="n"/>
      <c r="G34" s="11" t="n"/>
      <c r="H34" s="11" t="n"/>
      <c r="I34" s="12" t="n"/>
      <c r="J34" s="11" t="n"/>
      <c r="K34" s="11" t="n"/>
    </row>
    <row r="35">
      <c r="A35" s="11" t="inlineStr">
        <is>
          <t>Q32</t>
        </is>
      </c>
      <c r="B35" s="11" t="n"/>
      <c r="C35" s="20">
        <f>IF(B35="","",IFERROR(IF(INDEX(Grid!$C$4:$C$63,B35)="","",INDEX(Grid!$C$4:$C$63,B35)),""))</f>
        <v/>
      </c>
      <c r="D35" s="11" t="n"/>
      <c r="E35" s="12" t="n"/>
      <c r="F35" s="12" t="n"/>
      <c r="G35" s="11" t="n"/>
      <c r="H35" s="11" t="n"/>
      <c r="I35" s="12" t="n"/>
      <c r="J35" s="11" t="n"/>
      <c r="K35" s="11" t="n"/>
    </row>
    <row r="36">
      <c r="A36" s="11" t="inlineStr">
        <is>
          <t>Q33</t>
        </is>
      </c>
      <c r="B36" s="11" t="n"/>
      <c r="C36" s="20">
        <f>IF(B36="","",IFERROR(IF(INDEX(Grid!$C$4:$C$63,B36)="","",INDEX(Grid!$C$4:$C$63,B36)),""))</f>
        <v/>
      </c>
      <c r="D36" s="11" t="n"/>
      <c r="E36" s="12" t="n"/>
      <c r="F36" s="12" t="n"/>
      <c r="G36" s="11" t="n"/>
      <c r="H36" s="11" t="n"/>
      <c r="I36" s="12" t="n"/>
      <c r="J36" s="11" t="n"/>
      <c r="K36" s="11" t="n"/>
    </row>
    <row r="37">
      <c r="A37" s="11" t="inlineStr">
        <is>
          <t>Q34</t>
        </is>
      </c>
      <c r="B37" s="11" t="n"/>
      <c r="C37" s="20">
        <f>IF(B37="","",IFERROR(IF(INDEX(Grid!$C$4:$C$63,B37)="","",INDEX(Grid!$C$4:$C$63,B37)),""))</f>
        <v/>
      </c>
      <c r="D37" s="11" t="n"/>
      <c r="E37" s="12" t="n"/>
      <c r="F37" s="12" t="n"/>
      <c r="G37" s="11" t="n"/>
      <c r="H37" s="11" t="n"/>
      <c r="I37" s="12" t="n"/>
      <c r="J37" s="11" t="n"/>
      <c r="K37" s="11" t="n"/>
    </row>
    <row r="38">
      <c r="A38" s="11" t="inlineStr">
        <is>
          <t>Q35</t>
        </is>
      </c>
      <c r="B38" s="11" t="n"/>
      <c r="C38" s="20">
        <f>IF(B38="","",IFERROR(IF(INDEX(Grid!$C$4:$C$63,B38)="","",INDEX(Grid!$C$4:$C$63,B38)),""))</f>
        <v/>
      </c>
      <c r="D38" s="11" t="n"/>
      <c r="E38" s="12" t="n"/>
      <c r="F38" s="12" t="n"/>
      <c r="G38" s="11" t="n"/>
      <c r="H38" s="11" t="n"/>
      <c r="I38" s="12" t="n"/>
      <c r="J38" s="11" t="n"/>
      <c r="K38" s="11" t="n"/>
    </row>
    <row r="39">
      <c r="A39" s="11" t="inlineStr">
        <is>
          <t>Q36</t>
        </is>
      </c>
      <c r="B39" s="11" t="n"/>
      <c r="C39" s="20">
        <f>IF(B39="","",IFERROR(IF(INDEX(Grid!$C$4:$C$63,B39)="","",INDEX(Grid!$C$4:$C$63,B39)),""))</f>
        <v/>
      </c>
      <c r="D39" s="11" t="n"/>
      <c r="E39" s="12" t="n"/>
      <c r="F39" s="12" t="n"/>
      <c r="G39" s="11" t="n"/>
      <c r="H39" s="11" t="n"/>
      <c r="I39" s="12" t="n"/>
      <c r="J39" s="11" t="n"/>
      <c r="K39" s="11" t="n"/>
    </row>
    <row r="40">
      <c r="A40" s="11" t="inlineStr">
        <is>
          <t>Q37</t>
        </is>
      </c>
      <c r="B40" s="11" t="n"/>
      <c r="C40" s="20">
        <f>IF(B40="","",IFERROR(IF(INDEX(Grid!$C$4:$C$63,B40)="","",INDEX(Grid!$C$4:$C$63,B40)),""))</f>
        <v/>
      </c>
      <c r="D40" s="11" t="n"/>
      <c r="E40" s="12" t="n"/>
      <c r="F40" s="12" t="n"/>
      <c r="G40" s="11" t="n"/>
      <c r="H40" s="11" t="n"/>
      <c r="I40" s="12" t="n"/>
      <c r="J40" s="11" t="n"/>
      <c r="K40" s="11" t="n"/>
    </row>
    <row r="41">
      <c r="A41" s="11" t="inlineStr">
        <is>
          <t>Q38</t>
        </is>
      </c>
      <c r="B41" s="11" t="n"/>
      <c r="C41" s="20">
        <f>IF(B41="","",IFERROR(IF(INDEX(Grid!$C$4:$C$63,B41)="","",INDEX(Grid!$C$4:$C$63,B41)),""))</f>
        <v/>
      </c>
      <c r="D41" s="11" t="n"/>
      <c r="E41" s="12" t="n"/>
      <c r="F41" s="12" t="n"/>
      <c r="G41" s="11" t="n"/>
      <c r="H41" s="11" t="n"/>
      <c r="I41" s="12" t="n"/>
      <c r="J41" s="11" t="n"/>
      <c r="K41" s="11" t="n"/>
    </row>
    <row r="42">
      <c r="A42" s="11" t="inlineStr">
        <is>
          <t>Q39</t>
        </is>
      </c>
      <c r="B42" s="11" t="n"/>
      <c r="C42" s="20">
        <f>IF(B42="","",IFERROR(IF(INDEX(Grid!$C$4:$C$63,B42)="","",INDEX(Grid!$C$4:$C$63,B42)),""))</f>
        <v/>
      </c>
      <c r="D42" s="11" t="n"/>
      <c r="E42" s="12" t="n"/>
      <c r="F42" s="12" t="n"/>
      <c r="G42" s="11" t="n"/>
      <c r="H42" s="11" t="n"/>
      <c r="I42" s="12" t="n"/>
      <c r="J42" s="11" t="n"/>
      <c r="K42" s="11" t="n"/>
    </row>
    <row r="43">
      <c r="A43" s="11" t="inlineStr">
        <is>
          <t>Q40</t>
        </is>
      </c>
      <c r="B43" s="11" t="n"/>
      <c r="C43" s="20">
        <f>IF(B43="","",IFERROR(IF(INDEX(Grid!$C$4:$C$63,B43)="","",INDEX(Grid!$C$4:$C$63,B43)),""))</f>
        <v/>
      </c>
      <c r="D43" s="11" t="n"/>
      <c r="E43" s="12" t="n"/>
      <c r="F43" s="12" t="n"/>
      <c r="G43" s="11" t="n"/>
      <c r="H43" s="11" t="n"/>
      <c r="I43" s="12" t="n"/>
      <c r="J43" s="11" t="n"/>
      <c r="K43" s="11" t="n"/>
    </row>
    <row r="44">
      <c r="A44" s="11" t="inlineStr">
        <is>
          <t>Q41</t>
        </is>
      </c>
      <c r="B44" s="11" t="n"/>
      <c r="C44" s="20">
        <f>IF(B44="","",IFERROR(IF(INDEX(Grid!$C$4:$C$63,B44)="","",INDEX(Grid!$C$4:$C$63,B44)),""))</f>
        <v/>
      </c>
      <c r="D44" s="11" t="n"/>
      <c r="E44" s="12" t="n"/>
      <c r="F44" s="12" t="n"/>
      <c r="G44" s="11" t="n"/>
      <c r="H44" s="11" t="n"/>
      <c r="I44" s="12" t="n"/>
      <c r="J44" s="11" t="n"/>
      <c r="K44" s="11" t="n"/>
    </row>
    <row r="45">
      <c r="A45" s="11" t="inlineStr">
        <is>
          <t>Q42</t>
        </is>
      </c>
      <c r="B45" s="11" t="n"/>
      <c r="C45" s="20">
        <f>IF(B45="","",IFERROR(IF(INDEX(Grid!$C$4:$C$63,B45)="","",INDEX(Grid!$C$4:$C$63,B45)),""))</f>
        <v/>
      </c>
      <c r="D45" s="11" t="n"/>
      <c r="E45" s="12" t="n"/>
      <c r="F45" s="12" t="n"/>
      <c r="G45" s="11" t="n"/>
      <c r="H45" s="11" t="n"/>
      <c r="I45" s="12" t="n"/>
      <c r="J45" s="11" t="n"/>
      <c r="K45" s="11" t="n"/>
    </row>
    <row r="46">
      <c r="A46" s="11" t="inlineStr">
        <is>
          <t>Q43</t>
        </is>
      </c>
      <c r="B46" s="11" t="n"/>
      <c r="C46" s="20">
        <f>IF(B46="","",IFERROR(IF(INDEX(Grid!$C$4:$C$63,B46)="","",INDEX(Grid!$C$4:$C$63,B46)),""))</f>
        <v/>
      </c>
      <c r="D46" s="11" t="n"/>
      <c r="E46" s="12" t="n"/>
      <c r="F46" s="12" t="n"/>
      <c r="G46" s="11" t="n"/>
      <c r="H46" s="11" t="n"/>
      <c r="I46" s="12" t="n"/>
      <c r="J46" s="11" t="n"/>
      <c r="K46" s="11" t="n"/>
    </row>
    <row r="47">
      <c r="A47" s="11" t="inlineStr">
        <is>
          <t>Q44</t>
        </is>
      </c>
      <c r="B47" s="11" t="n"/>
      <c r="C47" s="20">
        <f>IF(B47="","",IFERROR(IF(INDEX(Grid!$C$4:$C$63,B47)="","",INDEX(Grid!$C$4:$C$63,B47)),""))</f>
        <v/>
      </c>
      <c r="D47" s="11" t="n"/>
      <c r="E47" s="12" t="n"/>
      <c r="F47" s="12" t="n"/>
      <c r="G47" s="11" t="n"/>
      <c r="H47" s="11" t="n"/>
      <c r="I47" s="12" t="n"/>
      <c r="J47" s="11" t="n"/>
      <c r="K47" s="11" t="n"/>
    </row>
    <row r="48">
      <c r="A48" s="11" t="inlineStr">
        <is>
          <t>Q45</t>
        </is>
      </c>
      <c r="B48" s="11" t="n"/>
      <c r="C48" s="20">
        <f>IF(B48="","",IFERROR(IF(INDEX(Grid!$C$4:$C$63,B48)="","",INDEX(Grid!$C$4:$C$63,B48)),""))</f>
        <v/>
      </c>
      <c r="D48" s="11" t="n"/>
      <c r="E48" s="12" t="n"/>
      <c r="F48" s="12" t="n"/>
      <c r="G48" s="11" t="n"/>
      <c r="H48" s="11" t="n"/>
      <c r="I48" s="12" t="n"/>
      <c r="J48" s="11" t="n"/>
      <c r="K48" s="11" t="n"/>
    </row>
    <row r="49">
      <c r="A49" s="11" t="inlineStr">
        <is>
          <t>Q46</t>
        </is>
      </c>
      <c r="B49" s="11" t="n"/>
      <c r="C49" s="20">
        <f>IF(B49="","",IFERROR(IF(INDEX(Grid!$C$4:$C$63,B49)="","",INDEX(Grid!$C$4:$C$63,B49)),""))</f>
        <v/>
      </c>
      <c r="D49" s="11" t="n"/>
      <c r="E49" s="12" t="n"/>
      <c r="F49" s="12" t="n"/>
      <c r="G49" s="11" t="n"/>
      <c r="H49" s="11" t="n"/>
      <c r="I49" s="12" t="n"/>
      <c r="J49" s="11" t="n"/>
      <c r="K49" s="11" t="n"/>
    </row>
    <row r="50">
      <c r="A50" s="11" t="inlineStr">
        <is>
          <t>Q47</t>
        </is>
      </c>
      <c r="B50" s="11" t="n"/>
      <c r="C50" s="20">
        <f>IF(B50="","",IFERROR(IF(INDEX(Grid!$C$4:$C$63,B50)="","",INDEX(Grid!$C$4:$C$63,B50)),""))</f>
        <v/>
      </c>
      <c r="D50" s="11" t="n"/>
      <c r="E50" s="12" t="n"/>
      <c r="F50" s="12" t="n"/>
      <c r="G50" s="11" t="n"/>
      <c r="H50" s="11" t="n"/>
      <c r="I50" s="12" t="n"/>
      <c r="J50" s="11" t="n"/>
      <c r="K50" s="11" t="n"/>
    </row>
    <row r="51">
      <c r="A51" s="11" t="inlineStr">
        <is>
          <t>Q48</t>
        </is>
      </c>
      <c r="B51" s="11" t="n"/>
      <c r="C51" s="20">
        <f>IF(B51="","",IFERROR(IF(INDEX(Grid!$C$4:$C$63,B51)="","",INDEX(Grid!$C$4:$C$63,B51)),""))</f>
        <v/>
      </c>
      <c r="D51" s="11" t="n"/>
      <c r="E51" s="12" t="n"/>
      <c r="F51" s="12" t="n"/>
      <c r="G51" s="11" t="n"/>
      <c r="H51" s="11" t="n"/>
      <c r="I51" s="12" t="n"/>
      <c r="J51" s="11" t="n"/>
      <c r="K51" s="11" t="n"/>
    </row>
    <row r="52">
      <c r="A52" s="11" t="inlineStr">
        <is>
          <t>Q49</t>
        </is>
      </c>
      <c r="B52" s="11" t="n"/>
      <c r="C52" s="20">
        <f>IF(B52="","",IFERROR(IF(INDEX(Grid!$C$4:$C$63,B52)="","",INDEX(Grid!$C$4:$C$63,B52)),""))</f>
        <v/>
      </c>
      <c r="D52" s="11" t="n"/>
      <c r="E52" s="12" t="n"/>
      <c r="F52" s="12" t="n"/>
      <c r="G52" s="11" t="n"/>
      <c r="H52" s="11" t="n"/>
      <c r="I52" s="12" t="n"/>
      <c r="J52" s="11" t="n"/>
      <c r="K52" s="11" t="n"/>
    </row>
    <row r="53">
      <c r="A53" s="11" t="inlineStr">
        <is>
          <t>Q50</t>
        </is>
      </c>
      <c r="B53" s="11" t="n"/>
      <c r="C53" s="20">
        <f>IF(B53="","",IFERROR(IF(INDEX(Grid!$C$4:$C$63,B53)="","",INDEX(Grid!$C$4:$C$63,B53)),""))</f>
        <v/>
      </c>
      <c r="D53" s="11" t="n"/>
      <c r="E53" s="12" t="n"/>
      <c r="F53" s="12" t="n"/>
      <c r="G53" s="11" t="n"/>
      <c r="H53" s="11" t="n"/>
      <c r="I53" s="12" t="n"/>
      <c r="J53" s="11" t="n"/>
      <c r="K53" s="11" t="n"/>
    </row>
    <row r="54">
      <c r="A54" s="11" t="inlineStr">
        <is>
          <t>Q51</t>
        </is>
      </c>
      <c r="B54" s="11" t="n"/>
      <c r="C54" s="20">
        <f>IF(B54="","",IFERROR(IF(INDEX(Grid!$C$4:$C$63,B54)="","",INDEX(Grid!$C$4:$C$63,B54)),""))</f>
        <v/>
      </c>
      <c r="D54" s="11" t="n"/>
      <c r="E54" s="12" t="n"/>
      <c r="F54" s="12" t="n"/>
      <c r="G54" s="11" t="n"/>
      <c r="H54" s="11" t="n"/>
      <c r="I54" s="12" t="n"/>
      <c r="J54" s="11" t="n"/>
      <c r="K54" s="11" t="n"/>
    </row>
    <row r="55">
      <c r="A55" s="11" t="inlineStr">
        <is>
          <t>Q52</t>
        </is>
      </c>
      <c r="B55" s="11" t="n"/>
      <c r="C55" s="20">
        <f>IF(B55="","",IFERROR(IF(INDEX(Grid!$C$4:$C$63,B55)="","",INDEX(Grid!$C$4:$C$63,B55)),""))</f>
        <v/>
      </c>
      <c r="D55" s="11" t="n"/>
      <c r="E55" s="12" t="n"/>
      <c r="F55" s="12" t="n"/>
      <c r="G55" s="11" t="n"/>
      <c r="H55" s="11" t="n"/>
      <c r="I55" s="12" t="n"/>
      <c r="J55" s="11" t="n"/>
      <c r="K55" s="11" t="n"/>
    </row>
    <row r="56">
      <c r="A56" s="11" t="inlineStr">
        <is>
          <t>Q53</t>
        </is>
      </c>
      <c r="B56" s="11" t="n"/>
      <c r="C56" s="20">
        <f>IF(B56="","",IFERROR(IF(INDEX(Grid!$C$4:$C$63,B56)="","",INDEX(Grid!$C$4:$C$63,B56)),""))</f>
        <v/>
      </c>
      <c r="D56" s="11" t="n"/>
      <c r="E56" s="12" t="n"/>
      <c r="F56" s="12" t="n"/>
      <c r="G56" s="11" t="n"/>
      <c r="H56" s="11" t="n"/>
      <c r="I56" s="12" t="n"/>
      <c r="J56" s="11" t="n"/>
      <c r="K56" s="11" t="n"/>
    </row>
    <row r="57">
      <c r="A57" s="11" t="inlineStr">
        <is>
          <t>Q54</t>
        </is>
      </c>
      <c r="B57" s="11" t="n"/>
      <c r="C57" s="20">
        <f>IF(B57="","",IFERROR(IF(INDEX(Grid!$C$4:$C$63,B57)="","",INDEX(Grid!$C$4:$C$63,B57)),""))</f>
        <v/>
      </c>
      <c r="D57" s="11" t="n"/>
      <c r="E57" s="12" t="n"/>
      <c r="F57" s="12" t="n"/>
      <c r="G57" s="11" t="n"/>
      <c r="H57" s="11" t="n"/>
      <c r="I57" s="12" t="n"/>
      <c r="J57" s="11" t="n"/>
      <c r="K57" s="11" t="n"/>
    </row>
    <row r="58">
      <c r="A58" s="11" t="inlineStr">
        <is>
          <t>Q55</t>
        </is>
      </c>
      <c r="B58" s="11" t="n"/>
      <c r="C58" s="20">
        <f>IF(B58="","",IFERROR(IF(INDEX(Grid!$C$4:$C$63,B58)="","",INDEX(Grid!$C$4:$C$63,B58)),""))</f>
        <v/>
      </c>
      <c r="D58" s="11" t="n"/>
      <c r="E58" s="12" t="n"/>
      <c r="F58" s="12" t="n"/>
      <c r="G58" s="11" t="n"/>
      <c r="H58" s="11" t="n"/>
      <c r="I58" s="12" t="n"/>
      <c r="J58" s="11" t="n"/>
      <c r="K58" s="11" t="n"/>
    </row>
    <row r="59">
      <c r="A59" s="11" t="inlineStr">
        <is>
          <t>Q56</t>
        </is>
      </c>
      <c r="B59" s="11" t="n"/>
      <c r="C59" s="20">
        <f>IF(B59="","",IFERROR(IF(INDEX(Grid!$C$4:$C$63,B59)="","",INDEX(Grid!$C$4:$C$63,B59)),""))</f>
        <v/>
      </c>
      <c r="D59" s="11" t="n"/>
      <c r="E59" s="12" t="n"/>
      <c r="F59" s="12" t="n"/>
      <c r="G59" s="11" t="n"/>
      <c r="H59" s="11" t="n"/>
      <c r="I59" s="12" t="n"/>
      <c r="J59" s="11" t="n"/>
      <c r="K59" s="11" t="n"/>
    </row>
    <row r="60">
      <c r="A60" s="11" t="inlineStr">
        <is>
          <t>Q57</t>
        </is>
      </c>
      <c r="B60" s="11" t="n"/>
      <c r="C60" s="20">
        <f>IF(B60="","",IFERROR(IF(INDEX(Grid!$C$4:$C$63,B60)="","",INDEX(Grid!$C$4:$C$63,B60)),""))</f>
        <v/>
      </c>
      <c r="D60" s="11" t="n"/>
      <c r="E60" s="12" t="n"/>
      <c r="F60" s="12" t="n"/>
      <c r="G60" s="11" t="n"/>
      <c r="H60" s="11" t="n"/>
      <c r="I60" s="12" t="n"/>
      <c r="J60" s="11" t="n"/>
      <c r="K60" s="11" t="n"/>
    </row>
    <row r="61">
      <c r="A61" s="11" t="inlineStr">
        <is>
          <t>Q58</t>
        </is>
      </c>
      <c r="B61" s="11" t="n"/>
      <c r="C61" s="20">
        <f>IF(B61="","",IFERROR(IF(INDEX(Grid!$C$4:$C$63,B61)="","",INDEX(Grid!$C$4:$C$63,B61)),""))</f>
        <v/>
      </c>
      <c r="D61" s="11" t="n"/>
      <c r="E61" s="12" t="n"/>
      <c r="F61" s="12" t="n"/>
      <c r="G61" s="11" t="n"/>
      <c r="H61" s="11" t="n"/>
      <c r="I61" s="12" t="n"/>
      <c r="J61" s="11" t="n"/>
      <c r="K61" s="11" t="n"/>
    </row>
    <row r="62">
      <c r="A62" s="11" t="inlineStr">
        <is>
          <t>Q59</t>
        </is>
      </c>
      <c r="B62" s="11" t="n"/>
      <c r="C62" s="20">
        <f>IF(B62="","",IFERROR(IF(INDEX(Grid!$C$4:$C$63,B62)="","",INDEX(Grid!$C$4:$C$63,B62)),""))</f>
        <v/>
      </c>
      <c r="D62" s="11" t="n"/>
      <c r="E62" s="12" t="n"/>
      <c r="F62" s="12" t="n"/>
      <c r="G62" s="11" t="n"/>
      <c r="H62" s="11" t="n"/>
      <c r="I62" s="12" t="n"/>
      <c r="J62" s="11" t="n"/>
      <c r="K62" s="11" t="n"/>
    </row>
    <row r="63">
      <c r="A63" s="11" t="inlineStr">
        <is>
          <t>Q60</t>
        </is>
      </c>
      <c r="B63" s="11" t="n"/>
      <c r="C63" s="20">
        <f>IF(B63="","",IFERROR(IF(INDEX(Grid!$C$4:$C$63,B63)="","",INDEX(Grid!$C$4:$C$63,B63)),""))</f>
        <v/>
      </c>
      <c r="D63" s="11" t="n"/>
      <c r="E63" s="12" t="n"/>
      <c r="F63" s="12" t="n"/>
      <c r="G63" s="11" t="n"/>
      <c r="H63" s="11" t="n"/>
      <c r="I63" s="12" t="n"/>
      <c r="J63" s="11" t="n"/>
      <c r="K63" s="11" t="n"/>
    </row>
    <row r="64">
      <c r="A64" s="11" t="inlineStr">
        <is>
          <t>Q61</t>
        </is>
      </c>
      <c r="B64" s="11" t="n"/>
      <c r="C64" s="20">
        <f>IF(B64="","",IFERROR(IF(INDEX(Grid!$C$4:$C$63,B64)="","",INDEX(Grid!$C$4:$C$63,B64)),""))</f>
        <v/>
      </c>
      <c r="D64" s="11" t="n"/>
      <c r="E64" s="12" t="n"/>
      <c r="F64" s="12" t="n"/>
      <c r="G64" s="11" t="n"/>
      <c r="H64" s="11" t="n"/>
      <c r="I64" s="12" t="n"/>
      <c r="J64" s="11" t="n"/>
      <c r="K64" s="11" t="n"/>
    </row>
    <row r="65">
      <c r="A65" s="11" t="inlineStr">
        <is>
          <t>Q62</t>
        </is>
      </c>
      <c r="B65" s="11" t="n"/>
      <c r="C65" s="20">
        <f>IF(B65="","",IFERROR(IF(INDEX(Grid!$C$4:$C$63,B65)="","",INDEX(Grid!$C$4:$C$63,B65)),""))</f>
        <v/>
      </c>
      <c r="D65" s="11" t="n"/>
      <c r="E65" s="12" t="n"/>
      <c r="F65" s="12" t="n"/>
      <c r="G65" s="11" t="n"/>
      <c r="H65" s="11" t="n"/>
      <c r="I65" s="12" t="n"/>
      <c r="J65" s="11" t="n"/>
      <c r="K65" s="11" t="n"/>
    </row>
    <row r="66">
      <c r="A66" s="11" t="inlineStr">
        <is>
          <t>Q63</t>
        </is>
      </c>
      <c r="B66" s="11" t="n"/>
      <c r="C66" s="20">
        <f>IF(B66="","",IFERROR(IF(INDEX(Grid!$C$4:$C$63,B66)="","",INDEX(Grid!$C$4:$C$63,B66)),""))</f>
        <v/>
      </c>
      <c r="D66" s="11" t="n"/>
      <c r="E66" s="12" t="n"/>
      <c r="F66" s="12" t="n"/>
      <c r="G66" s="11" t="n"/>
      <c r="H66" s="11" t="n"/>
      <c r="I66" s="12" t="n"/>
      <c r="J66" s="11" t="n"/>
      <c r="K66" s="11" t="n"/>
    </row>
    <row r="67">
      <c r="A67" s="11" t="inlineStr">
        <is>
          <t>Q64</t>
        </is>
      </c>
      <c r="B67" s="11" t="n"/>
      <c r="C67" s="20">
        <f>IF(B67="","",IFERROR(IF(INDEX(Grid!$C$4:$C$63,B67)="","",INDEX(Grid!$C$4:$C$63,B67)),""))</f>
        <v/>
      </c>
      <c r="D67" s="11" t="n"/>
      <c r="E67" s="12" t="n"/>
      <c r="F67" s="12" t="n"/>
      <c r="G67" s="11" t="n"/>
      <c r="H67" s="11" t="n"/>
      <c r="I67" s="12" t="n"/>
      <c r="J67" s="11" t="n"/>
      <c r="K67" s="11" t="n"/>
    </row>
    <row r="68">
      <c r="A68" s="11" t="inlineStr">
        <is>
          <t>Q65</t>
        </is>
      </c>
      <c r="B68" s="11" t="n"/>
      <c r="C68" s="20">
        <f>IF(B68="","",IFERROR(IF(INDEX(Grid!$C$4:$C$63,B68)="","",INDEX(Grid!$C$4:$C$63,B68)),""))</f>
        <v/>
      </c>
      <c r="D68" s="11" t="n"/>
      <c r="E68" s="12" t="n"/>
      <c r="F68" s="12" t="n"/>
      <c r="G68" s="11" t="n"/>
      <c r="H68" s="11" t="n"/>
      <c r="I68" s="12" t="n"/>
      <c r="J68" s="11" t="n"/>
      <c r="K68" s="11" t="n"/>
    </row>
    <row r="69">
      <c r="A69" s="11" t="inlineStr">
        <is>
          <t>Q66</t>
        </is>
      </c>
      <c r="B69" s="11" t="n"/>
      <c r="C69" s="20">
        <f>IF(B69="","",IFERROR(IF(INDEX(Grid!$C$4:$C$63,B69)="","",INDEX(Grid!$C$4:$C$63,B69)),""))</f>
        <v/>
      </c>
      <c r="D69" s="11" t="n"/>
      <c r="E69" s="12" t="n"/>
      <c r="F69" s="12" t="n"/>
      <c r="G69" s="11" t="n"/>
      <c r="H69" s="11" t="n"/>
      <c r="I69" s="12" t="n"/>
      <c r="J69" s="11" t="n"/>
      <c r="K69" s="11" t="n"/>
    </row>
    <row r="70">
      <c r="A70" s="11" t="inlineStr">
        <is>
          <t>Q67</t>
        </is>
      </c>
      <c r="B70" s="11" t="n"/>
      <c r="C70" s="20">
        <f>IF(B70="","",IFERROR(IF(INDEX(Grid!$C$4:$C$63,B70)="","",INDEX(Grid!$C$4:$C$63,B70)),""))</f>
        <v/>
      </c>
      <c r="D70" s="11" t="n"/>
      <c r="E70" s="12" t="n"/>
      <c r="F70" s="12" t="n"/>
      <c r="G70" s="11" t="n"/>
      <c r="H70" s="11" t="n"/>
      <c r="I70" s="12" t="n"/>
      <c r="J70" s="11" t="n"/>
      <c r="K70" s="11" t="n"/>
    </row>
    <row r="71">
      <c r="A71" s="11" t="inlineStr">
        <is>
          <t>Q68</t>
        </is>
      </c>
      <c r="B71" s="11" t="n"/>
      <c r="C71" s="20">
        <f>IF(B71="","",IFERROR(IF(INDEX(Grid!$C$4:$C$63,B71)="","",INDEX(Grid!$C$4:$C$63,B71)),""))</f>
        <v/>
      </c>
      <c r="D71" s="11" t="n"/>
      <c r="E71" s="12" t="n"/>
      <c r="F71" s="12" t="n"/>
      <c r="G71" s="11" t="n"/>
      <c r="H71" s="11" t="n"/>
      <c r="I71" s="12" t="n"/>
      <c r="J71" s="11" t="n"/>
      <c r="K71" s="11" t="n"/>
    </row>
    <row r="72">
      <c r="A72" s="11" t="inlineStr">
        <is>
          <t>Q69</t>
        </is>
      </c>
      <c r="B72" s="11" t="n"/>
      <c r="C72" s="20">
        <f>IF(B72="","",IFERROR(IF(INDEX(Grid!$C$4:$C$63,B72)="","",INDEX(Grid!$C$4:$C$63,B72)),""))</f>
        <v/>
      </c>
      <c r="D72" s="11" t="n"/>
      <c r="E72" s="12" t="n"/>
      <c r="F72" s="12" t="n"/>
      <c r="G72" s="11" t="n"/>
      <c r="H72" s="11" t="n"/>
      <c r="I72" s="12" t="n"/>
      <c r="J72" s="11" t="n"/>
      <c r="K72" s="11" t="n"/>
    </row>
    <row r="73">
      <c r="A73" s="11" t="inlineStr">
        <is>
          <t>Q70</t>
        </is>
      </c>
      <c r="B73" s="11" t="n"/>
      <c r="C73" s="20">
        <f>IF(B73="","",IFERROR(IF(INDEX(Grid!$C$4:$C$63,B73)="","",INDEX(Grid!$C$4:$C$63,B73)),""))</f>
        <v/>
      </c>
      <c r="D73" s="11" t="n"/>
      <c r="E73" s="12" t="n"/>
      <c r="F73" s="12" t="n"/>
      <c r="G73" s="11" t="n"/>
      <c r="H73" s="11" t="n"/>
      <c r="I73" s="12" t="n"/>
      <c r="J73" s="11" t="n"/>
      <c r="K73" s="11" t="n"/>
    </row>
    <row r="74">
      <c r="A74" s="11" t="inlineStr">
        <is>
          <t>Q71</t>
        </is>
      </c>
      <c r="B74" s="11" t="n"/>
      <c r="C74" s="20">
        <f>IF(B74="","",IFERROR(IF(INDEX(Grid!$C$4:$C$63,B74)="","",INDEX(Grid!$C$4:$C$63,B74)),""))</f>
        <v/>
      </c>
      <c r="D74" s="11" t="n"/>
      <c r="E74" s="12" t="n"/>
      <c r="F74" s="12" t="n"/>
      <c r="G74" s="11" t="n"/>
      <c r="H74" s="11" t="n"/>
      <c r="I74" s="12" t="n"/>
      <c r="J74" s="11" t="n"/>
      <c r="K74" s="11" t="n"/>
    </row>
    <row r="75">
      <c r="A75" s="11" t="inlineStr">
        <is>
          <t>Q72</t>
        </is>
      </c>
      <c r="B75" s="11" t="n"/>
      <c r="C75" s="20">
        <f>IF(B75="","",IFERROR(IF(INDEX(Grid!$C$4:$C$63,B75)="","",INDEX(Grid!$C$4:$C$63,B75)),""))</f>
        <v/>
      </c>
      <c r="D75" s="11" t="n"/>
      <c r="E75" s="12" t="n"/>
      <c r="F75" s="12" t="n"/>
      <c r="G75" s="11" t="n"/>
      <c r="H75" s="11" t="n"/>
      <c r="I75" s="12" t="n"/>
      <c r="J75" s="11" t="n"/>
      <c r="K75" s="11" t="n"/>
    </row>
    <row r="76">
      <c r="A76" s="11" t="inlineStr">
        <is>
          <t>Q73</t>
        </is>
      </c>
      <c r="B76" s="11" t="n"/>
      <c r="C76" s="20">
        <f>IF(B76="","",IFERROR(IF(INDEX(Grid!$C$4:$C$63,B76)="","",INDEX(Grid!$C$4:$C$63,B76)),""))</f>
        <v/>
      </c>
      <c r="D76" s="11" t="n"/>
      <c r="E76" s="12" t="n"/>
      <c r="F76" s="12" t="n"/>
      <c r="G76" s="11" t="n"/>
      <c r="H76" s="11" t="n"/>
      <c r="I76" s="12" t="n"/>
      <c r="J76" s="11" t="n"/>
      <c r="K76" s="11" t="n"/>
    </row>
    <row r="77">
      <c r="A77" s="11" t="inlineStr">
        <is>
          <t>Q74</t>
        </is>
      </c>
      <c r="B77" s="11" t="n"/>
      <c r="C77" s="20">
        <f>IF(B77="","",IFERROR(IF(INDEX(Grid!$C$4:$C$63,B77)="","",INDEX(Grid!$C$4:$C$63,B77)),""))</f>
        <v/>
      </c>
      <c r="D77" s="11" t="n"/>
      <c r="E77" s="12" t="n"/>
      <c r="F77" s="12" t="n"/>
      <c r="G77" s="11" t="n"/>
      <c r="H77" s="11" t="n"/>
      <c r="I77" s="12" t="n"/>
      <c r="J77" s="11" t="n"/>
      <c r="K77" s="11" t="n"/>
    </row>
    <row r="78">
      <c r="A78" s="11" t="inlineStr">
        <is>
          <t>Q75</t>
        </is>
      </c>
      <c r="B78" s="11" t="n"/>
      <c r="C78" s="20">
        <f>IF(B78="","",IFERROR(IF(INDEX(Grid!$C$4:$C$63,B78)="","",INDEX(Grid!$C$4:$C$63,B78)),""))</f>
        <v/>
      </c>
      <c r="D78" s="11" t="n"/>
      <c r="E78" s="12" t="n"/>
      <c r="F78" s="12" t="n"/>
      <c r="G78" s="11" t="n"/>
      <c r="H78" s="11" t="n"/>
      <c r="I78" s="12" t="n"/>
      <c r="J78" s="11" t="n"/>
      <c r="K78" s="11" t="n"/>
    </row>
    <row r="79">
      <c r="A79" s="11" t="inlineStr">
        <is>
          <t>Q76</t>
        </is>
      </c>
      <c r="B79" s="11" t="n"/>
      <c r="C79" s="20">
        <f>IF(B79="","",IFERROR(IF(INDEX(Grid!$C$4:$C$63,B79)="","",INDEX(Grid!$C$4:$C$63,B79)),""))</f>
        <v/>
      </c>
      <c r="D79" s="11" t="n"/>
      <c r="E79" s="12" t="n"/>
      <c r="F79" s="12" t="n"/>
      <c r="G79" s="11" t="n"/>
      <c r="H79" s="11" t="n"/>
      <c r="I79" s="12" t="n"/>
      <c r="J79" s="11" t="n"/>
      <c r="K79" s="11" t="n"/>
    </row>
    <row r="80">
      <c r="A80" s="11" t="inlineStr">
        <is>
          <t>Q77</t>
        </is>
      </c>
      <c r="B80" s="11" t="n"/>
      <c r="C80" s="20">
        <f>IF(B80="","",IFERROR(IF(INDEX(Grid!$C$4:$C$63,B80)="","",INDEX(Grid!$C$4:$C$63,B80)),""))</f>
        <v/>
      </c>
      <c r="D80" s="11" t="n"/>
      <c r="E80" s="12" t="n"/>
      <c r="F80" s="12" t="n"/>
      <c r="G80" s="11" t="n"/>
      <c r="H80" s="11" t="n"/>
      <c r="I80" s="12" t="n"/>
      <c r="J80" s="11" t="n"/>
      <c r="K80" s="11" t="n"/>
    </row>
    <row r="81">
      <c r="A81" s="11" t="inlineStr">
        <is>
          <t>Q78</t>
        </is>
      </c>
      <c r="B81" s="11" t="n"/>
      <c r="C81" s="20">
        <f>IF(B81="","",IFERROR(IF(INDEX(Grid!$C$4:$C$63,B81)="","",INDEX(Grid!$C$4:$C$63,B81)),""))</f>
        <v/>
      </c>
      <c r="D81" s="11" t="n"/>
      <c r="E81" s="12" t="n"/>
      <c r="F81" s="12" t="n"/>
      <c r="G81" s="11" t="n"/>
      <c r="H81" s="11" t="n"/>
      <c r="I81" s="12" t="n"/>
      <c r="J81" s="11" t="n"/>
      <c r="K81" s="11" t="n"/>
    </row>
    <row r="82">
      <c r="A82" s="11" t="inlineStr">
        <is>
          <t>Q79</t>
        </is>
      </c>
      <c r="B82" s="11" t="n"/>
      <c r="C82" s="20">
        <f>IF(B82="","",IFERROR(IF(INDEX(Grid!$C$4:$C$63,B82)="","",INDEX(Grid!$C$4:$C$63,B82)),""))</f>
        <v/>
      </c>
      <c r="D82" s="11" t="n"/>
      <c r="E82" s="12" t="n"/>
      <c r="F82" s="12" t="n"/>
      <c r="G82" s="11" t="n"/>
      <c r="H82" s="11" t="n"/>
      <c r="I82" s="12" t="n"/>
      <c r="J82" s="11" t="n"/>
      <c r="K82" s="11" t="n"/>
    </row>
    <row r="83">
      <c r="A83" s="11" t="inlineStr">
        <is>
          <t>Q80</t>
        </is>
      </c>
      <c r="B83" s="11" t="n"/>
      <c r="C83" s="20">
        <f>IF(B83="","",IFERROR(IF(INDEX(Grid!$C$4:$C$63,B83)="","",INDEX(Grid!$C$4:$C$63,B83)),""))</f>
        <v/>
      </c>
      <c r="D83" s="11" t="n"/>
      <c r="E83" s="12" t="n"/>
      <c r="F83" s="12" t="n"/>
      <c r="G83" s="11" t="n"/>
      <c r="H83" s="11" t="n"/>
      <c r="I83" s="12" t="n"/>
      <c r="J83" s="11" t="n"/>
      <c r="K83" s="11" t="n"/>
    </row>
    <row r="84">
      <c r="A84" s="11" t="inlineStr">
        <is>
          <t>Q81</t>
        </is>
      </c>
      <c r="B84" s="11" t="n"/>
      <c r="C84" s="20">
        <f>IF(B84="","",IFERROR(IF(INDEX(Grid!$C$4:$C$63,B84)="","",INDEX(Grid!$C$4:$C$63,B84)),""))</f>
        <v/>
      </c>
      <c r="D84" s="11" t="n"/>
      <c r="E84" s="12" t="n"/>
      <c r="F84" s="12" t="n"/>
      <c r="G84" s="11" t="n"/>
      <c r="H84" s="11" t="n"/>
      <c r="I84" s="12" t="n"/>
      <c r="J84" s="11" t="n"/>
      <c r="K84" s="11" t="n"/>
    </row>
    <row r="85">
      <c r="A85" s="11" t="inlineStr">
        <is>
          <t>Q82</t>
        </is>
      </c>
      <c r="B85" s="11" t="n"/>
      <c r="C85" s="20">
        <f>IF(B85="","",IFERROR(IF(INDEX(Grid!$C$4:$C$63,B85)="","",INDEX(Grid!$C$4:$C$63,B85)),""))</f>
        <v/>
      </c>
      <c r="D85" s="11" t="n"/>
      <c r="E85" s="12" t="n"/>
      <c r="F85" s="12" t="n"/>
      <c r="G85" s="11" t="n"/>
      <c r="H85" s="11" t="n"/>
      <c r="I85" s="12" t="n"/>
      <c r="J85" s="11" t="n"/>
      <c r="K85" s="11" t="n"/>
    </row>
    <row r="86">
      <c r="A86" s="11" t="inlineStr">
        <is>
          <t>Q83</t>
        </is>
      </c>
      <c r="B86" s="11" t="n"/>
      <c r="C86" s="20">
        <f>IF(B86="","",IFERROR(IF(INDEX(Grid!$C$4:$C$63,B86)="","",INDEX(Grid!$C$4:$C$63,B86)),""))</f>
        <v/>
      </c>
      <c r="D86" s="11" t="n"/>
      <c r="E86" s="12" t="n"/>
      <c r="F86" s="12" t="n"/>
      <c r="G86" s="11" t="n"/>
      <c r="H86" s="11" t="n"/>
      <c r="I86" s="12" t="n"/>
      <c r="J86" s="11" t="n"/>
      <c r="K86" s="11" t="n"/>
    </row>
    <row r="87">
      <c r="A87" s="11" t="inlineStr">
        <is>
          <t>Q84</t>
        </is>
      </c>
      <c r="B87" s="11" t="n"/>
      <c r="C87" s="20">
        <f>IF(B87="","",IFERROR(IF(INDEX(Grid!$C$4:$C$63,B87)="","",INDEX(Grid!$C$4:$C$63,B87)),""))</f>
        <v/>
      </c>
      <c r="D87" s="11" t="n"/>
      <c r="E87" s="12" t="n"/>
      <c r="F87" s="12" t="n"/>
      <c r="G87" s="11" t="n"/>
      <c r="H87" s="11" t="n"/>
      <c r="I87" s="12" t="n"/>
      <c r="J87" s="11" t="n"/>
      <c r="K87" s="11" t="n"/>
    </row>
    <row r="88">
      <c r="A88" s="11" t="inlineStr">
        <is>
          <t>Q85</t>
        </is>
      </c>
      <c r="B88" s="11" t="n"/>
      <c r="C88" s="20">
        <f>IF(B88="","",IFERROR(IF(INDEX(Grid!$C$4:$C$63,B88)="","",INDEX(Grid!$C$4:$C$63,B88)),""))</f>
        <v/>
      </c>
      <c r="D88" s="11" t="n"/>
      <c r="E88" s="12" t="n"/>
      <c r="F88" s="12" t="n"/>
      <c r="G88" s="11" t="n"/>
      <c r="H88" s="11" t="n"/>
      <c r="I88" s="12" t="n"/>
      <c r="J88" s="11" t="n"/>
      <c r="K88" s="11" t="n"/>
    </row>
    <row r="89">
      <c r="A89" s="11" t="inlineStr">
        <is>
          <t>Q86</t>
        </is>
      </c>
      <c r="B89" s="11" t="n"/>
      <c r="C89" s="20">
        <f>IF(B89="","",IFERROR(IF(INDEX(Grid!$C$4:$C$63,B89)="","",INDEX(Grid!$C$4:$C$63,B89)),""))</f>
        <v/>
      </c>
      <c r="D89" s="11" t="n"/>
      <c r="E89" s="12" t="n"/>
      <c r="F89" s="12" t="n"/>
      <c r="G89" s="11" t="n"/>
      <c r="H89" s="11" t="n"/>
      <c r="I89" s="12" t="n"/>
      <c r="J89" s="11" t="n"/>
      <c r="K89" s="11" t="n"/>
    </row>
    <row r="90">
      <c r="A90" s="11" t="inlineStr">
        <is>
          <t>Q87</t>
        </is>
      </c>
      <c r="B90" s="11" t="n"/>
      <c r="C90" s="20">
        <f>IF(B90="","",IFERROR(IF(INDEX(Grid!$C$4:$C$63,B90)="","",INDEX(Grid!$C$4:$C$63,B90)),""))</f>
        <v/>
      </c>
      <c r="D90" s="11" t="n"/>
      <c r="E90" s="12" t="n"/>
      <c r="F90" s="12" t="n"/>
      <c r="G90" s="11" t="n"/>
      <c r="H90" s="11" t="n"/>
      <c r="I90" s="12" t="n"/>
      <c r="J90" s="11" t="n"/>
      <c r="K90" s="11" t="n"/>
    </row>
    <row r="91">
      <c r="A91" s="11" t="inlineStr">
        <is>
          <t>Q88</t>
        </is>
      </c>
      <c r="B91" s="11" t="n"/>
      <c r="C91" s="20">
        <f>IF(B91="","",IFERROR(IF(INDEX(Grid!$C$4:$C$63,B91)="","",INDEX(Grid!$C$4:$C$63,B91)),""))</f>
        <v/>
      </c>
      <c r="D91" s="11" t="n"/>
      <c r="E91" s="12" t="n"/>
      <c r="F91" s="12" t="n"/>
      <c r="G91" s="11" t="n"/>
      <c r="H91" s="11" t="n"/>
      <c r="I91" s="12" t="n"/>
      <c r="J91" s="11" t="n"/>
      <c r="K91" s="11" t="n"/>
    </row>
    <row r="92">
      <c r="A92" s="11" t="inlineStr">
        <is>
          <t>Q89</t>
        </is>
      </c>
      <c r="B92" s="11" t="n"/>
      <c r="C92" s="20">
        <f>IF(B92="","",IFERROR(IF(INDEX(Grid!$C$4:$C$63,B92)="","",INDEX(Grid!$C$4:$C$63,B92)),""))</f>
        <v/>
      </c>
      <c r="D92" s="11" t="n"/>
      <c r="E92" s="12" t="n"/>
      <c r="F92" s="12" t="n"/>
      <c r="G92" s="11" t="n"/>
      <c r="H92" s="11" t="n"/>
      <c r="I92" s="12" t="n"/>
      <c r="J92" s="11" t="n"/>
      <c r="K92" s="11" t="n"/>
    </row>
    <row r="93">
      <c r="A93" s="11" t="inlineStr">
        <is>
          <t>Q90</t>
        </is>
      </c>
      <c r="B93" s="11" t="n"/>
      <c r="C93" s="20">
        <f>IF(B93="","",IFERROR(IF(INDEX(Grid!$C$4:$C$63,B93)="","",INDEX(Grid!$C$4:$C$63,B93)),""))</f>
        <v/>
      </c>
      <c r="D93" s="11" t="n"/>
      <c r="E93" s="12" t="n"/>
      <c r="F93" s="12" t="n"/>
      <c r="G93" s="11" t="n"/>
      <c r="H93" s="11" t="n"/>
      <c r="I93" s="12" t="n"/>
      <c r="J93" s="11" t="n"/>
      <c r="K93" s="11" t="n"/>
    </row>
    <row r="94">
      <c r="A94" s="11" t="inlineStr">
        <is>
          <t>Q91</t>
        </is>
      </c>
      <c r="B94" s="11" t="n"/>
      <c r="C94" s="20">
        <f>IF(B94="","",IFERROR(IF(INDEX(Grid!$C$4:$C$63,B94)="","",INDEX(Grid!$C$4:$C$63,B94)),""))</f>
        <v/>
      </c>
      <c r="D94" s="11" t="n"/>
      <c r="E94" s="12" t="n"/>
      <c r="F94" s="12" t="n"/>
      <c r="G94" s="11" t="n"/>
      <c r="H94" s="11" t="n"/>
      <c r="I94" s="12" t="n"/>
      <c r="J94" s="11" t="n"/>
      <c r="K94" s="11" t="n"/>
    </row>
    <row r="95">
      <c r="A95" s="11" t="inlineStr">
        <is>
          <t>Q92</t>
        </is>
      </c>
      <c r="B95" s="11" t="n"/>
      <c r="C95" s="20">
        <f>IF(B95="","",IFERROR(IF(INDEX(Grid!$C$4:$C$63,B95)="","",INDEX(Grid!$C$4:$C$63,B95)),""))</f>
        <v/>
      </c>
      <c r="D95" s="11" t="n"/>
      <c r="E95" s="12" t="n"/>
      <c r="F95" s="12" t="n"/>
      <c r="G95" s="11" t="n"/>
      <c r="H95" s="11" t="n"/>
      <c r="I95" s="12" t="n"/>
      <c r="J95" s="11" t="n"/>
      <c r="K95" s="11" t="n"/>
    </row>
    <row r="96">
      <c r="A96" s="11" t="inlineStr">
        <is>
          <t>Q93</t>
        </is>
      </c>
      <c r="B96" s="11" t="n"/>
      <c r="C96" s="20">
        <f>IF(B96="","",IFERROR(IF(INDEX(Grid!$C$4:$C$63,B96)="","",INDEX(Grid!$C$4:$C$63,B96)),""))</f>
        <v/>
      </c>
      <c r="D96" s="11" t="n"/>
      <c r="E96" s="12" t="n"/>
      <c r="F96" s="12" t="n"/>
      <c r="G96" s="11" t="n"/>
      <c r="H96" s="11" t="n"/>
      <c r="I96" s="12" t="n"/>
      <c r="J96" s="11" t="n"/>
      <c r="K96" s="11" t="n"/>
    </row>
    <row r="97">
      <c r="A97" s="11" t="inlineStr">
        <is>
          <t>Q94</t>
        </is>
      </c>
      <c r="B97" s="11" t="n"/>
      <c r="C97" s="20">
        <f>IF(B97="","",IFERROR(IF(INDEX(Grid!$C$4:$C$63,B97)="","",INDEX(Grid!$C$4:$C$63,B97)),""))</f>
        <v/>
      </c>
      <c r="D97" s="11" t="n"/>
      <c r="E97" s="12" t="n"/>
      <c r="F97" s="12" t="n"/>
      <c r="G97" s="11" t="n"/>
      <c r="H97" s="11" t="n"/>
      <c r="I97" s="12" t="n"/>
      <c r="J97" s="11" t="n"/>
      <c r="K97" s="11" t="n"/>
    </row>
    <row r="98">
      <c r="A98" s="11" t="inlineStr">
        <is>
          <t>Q95</t>
        </is>
      </c>
      <c r="B98" s="11" t="n"/>
      <c r="C98" s="20">
        <f>IF(B98="","",IFERROR(IF(INDEX(Grid!$C$4:$C$63,B98)="","",INDEX(Grid!$C$4:$C$63,B98)),""))</f>
        <v/>
      </c>
      <c r="D98" s="11" t="n"/>
      <c r="E98" s="12" t="n"/>
      <c r="F98" s="12" t="n"/>
      <c r="G98" s="11" t="n"/>
      <c r="H98" s="11" t="n"/>
      <c r="I98" s="12" t="n"/>
      <c r="J98" s="11" t="n"/>
      <c r="K98" s="11" t="n"/>
    </row>
    <row r="99">
      <c r="A99" s="11" t="inlineStr">
        <is>
          <t>Q96</t>
        </is>
      </c>
      <c r="B99" s="11" t="n"/>
      <c r="C99" s="20">
        <f>IF(B99="","",IFERROR(IF(INDEX(Grid!$C$4:$C$63,B99)="","",INDEX(Grid!$C$4:$C$63,B99)),""))</f>
        <v/>
      </c>
      <c r="D99" s="11" t="n"/>
      <c r="E99" s="12" t="n"/>
      <c r="F99" s="12" t="n"/>
      <c r="G99" s="11" t="n"/>
      <c r="H99" s="11" t="n"/>
      <c r="I99" s="12" t="n"/>
      <c r="J99" s="11" t="n"/>
      <c r="K99" s="11" t="n"/>
    </row>
    <row r="100">
      <c r="A100" s="11" t="inlineStr">
        <is>
          <t>Q97</t>
        </is>
      </c>
      <c r="B100" s="11" t="n"/>
      <c r="C100" s="20">
        <f>IF(B100="","",IFERROR(IF(INDEX(Grid!$C$4:$C$63,B100)="","",INDEX(Grid!$C$4:$C$63,B100)),""))</f>
        <v/>
      </c>
      <c r="D100" s="11" t="n"/>
      <c r="E100" s="12" t="n"/>
      <c r="F100" s="12" t="n"/>
      <c r="G100" s="11" t="n"/>
      <c r="H100" s="11" t="n"/>
      <c r="I100" s="12" t="n"/>
      <c r="J100" s="11" t="n"/>
      <c r="K100" s="11" t="n"/>
    </row>
    <row r="101">
      <c r="A101" s="11" t="inlineStr">
        <is>
          <t>Q98</t>
        </is>
      </c>
      <c r="B101" s="11" t="n"/>
      <c r="C101" s="20">
        <f>IF(B101="","",IFERROR(IF(INDEX(Grid!$C$4:$C$63,B101)="","",INDEX(Grid!$C$4:$C$63,B101)),""))</f>
        <v/>
      </c>
      <c r="D101" s="11" t="n"/>
      <c r="E101" s="12" t="n"/>
      <c r="F101" s="12" t="n"/>
      <c r="G101" s="11" t="n"/>
      <c r="H101" s="11" t="n"/>
      <c r="I101" s="12" t="n"/>
      <c r="J101" s="11" t="n"/>
      <c r="K101" s="11" t="n"/>
    </row>
    <row r="102">
      <c r="A102" s="11" t="inlineStr">
        <is>
          <t>Q99</t>
        </is>
      </c>
      <c r="B102" s="11" t="n"/>
      <c r="C102" s="20">
        <f>IF(B102="","",IFERROR(IF(INDEX(Grid!$C$4:$C$63,B102)="","",INDEX(Grid!$C$4:$C$63,B102)),""))</f>
        <v/>
      </c>
      <c r="D102" s="11" t="n"/>
      <c r="E102" s="12" t="n"/>
      <c r="F102" s="12" t="n"/>
      <c r="G102" s="11" t="n"/>
      <c r="H102" s="11" t="n"/>
      <c r="I102" s="12" t="n"/>
      <c r="J102" s="11" t="n"/>
      <c r="K102" s="11" t="n"/>
    </row>
    <row r="103">
      <c r="A103" s="11" t="inlineStr">
        <is>
          <t>Q100</t>
        </is>
      </c>
      <c r="B103" s="11" t="n"/>
      <c r="C103" s="20">
        <f>IF(B103="","",IFERROR(IF(INDEX(Grid!$C$4:$C$63,B103)="","",INDEX(Grid!$C$4:$C$63,B103)),""))</f>
        <v/>
      </c>
      <c r="D103" s="11" t="n"/>
      <c r="E103" s="12" t="n"/>
      <c r="F103" s="12" t="n"/>
      <c r="G103" s="11" t="n"/>
      <c r="H103" s="11" t="n"/>
      <c r="I103" s="12" t="n"/>
      <c r="J103" s="11" t="n"/>
      <c r="K103" s="11" t="n"/>
    </row>
    <row r="104">
      <c r="A104" s="11" t="inlineStr">
        <is>
          <t>Q101</t>
        </is>
      </c>
      <c r="B104" s="11" t="n"/>
      <c r="C104" s="20">
        <f>IF(B104="","",IFERROR(IF(INDEX(Grid!$C$4:$C$63,B104)="","",INDEX(Grid!$C$4:$C$63,B104)),""))</f>
        <v/>
      </c>
      <c r="D104" s="11" t="n"/>
      <c r="E104" s="12" t="n"/>
      <c r="F104" s="12" t="n"/>
      <c r="G104" s="11" t="n"/>
      <c r="H104" s="11" t="n"/>
      <c r="I104" s="12" t="n"/>
      <c r="J104" s="11" t="n"/>
      <c r="K104" s="11" t="n"/>
    </row>
    <row r="105">
      <c r="A105" s="11" t="inlineStr">
        <is>
          <t>Q102</t>
        </is>
      </c>
      <c r="B105" s="11" t="n"/>
      <c r="C105" s="20">
        <f>IF(B105="","",IFERROR(IF(INDEX(Grid!$C$4:$C$63,B105)="","",INDEX(Grid!$C$4:$C$63,B105)),""))</f>
        <v/>
      </c>
      <c r="D105" s="11" t="n"/>
      <c r="E105" s="12" t="n"/>
      <c r="F105" s="12" t="n"/>
      <c r="G105" s="11" t="n"/>
      <c r="H105" s="11" t="n"/>
      <c r="I105" s="12" t="n"/>
      <c r="J105" s="11" t="n"/>
      <c r="K105" s="11" t="n"/>
    </row>
    <row r="106">
      <c r="A106" s="11" t="inlineStr">
        <is>
          <t>Q103</t>
        </is>
      </c>
      <c r="B106" s="11" t="n"/>
      <c r="C106" s="20">
        <f>IF(B106="","",IFERROR(IF(INDEX(Grid!$C$4:$C$63,B106)="","",INDEX(Grid!$C$4:$C$63,B106)),""))</f>
        <v/>
      </c>
      <c r="D106" s="11" t="n"/>
      <c r="E106" s="12" t="n"/>
      <c r="F106" s="12" t="n"/>
      <c r="G106" s="11" t="n"/>
      <c r="H106" s="11" t="n"/>
      <c r="I106" s="12" t="n"/>
      <c r="J106" s="11" t="n"/>
      <c r="K106" s="11" t="n"/>
    </row>
    <row r="107">
      <c r="A107" s="11" t="inlineStr">
        <is>
          <t>Q104</t>
        </is>
      </c>
      <c r="B107" s="11" t="n"/>
      <c r="C107" s="20">
        <f>IF(B107="","",IFERROR(IF(INDEX(Grid!$C$4:$C$63,B107)="","",INDEX(Grid!$C$4:$C$63,B107)),""))</f>
        <v/>
      </c>
      <c r="D107" s="11" t="n"/>
      <c r="E107" s="12" t="n"/>
      <c r="F107" s="12" t="n"/>
      <c r="G107" s="11" t="n"/>
      <c r="H107" s="11" t="n"/>
      <c r="I107" s="12" t="n"/>
      <c r="J107" s="11" t="n"/>
      <c r="K107" s="11" t="n"/>
    </row>
    <row r="108">
      <c r="A108" s="11" t="inlineStr">
        <is>
          <t>Q105</t>
        </is>
      </c>
      <c r="B108" s="11" t="n"/>
      <c r="C108" s="20">
        <f>IF(B108="","",IFERROR(IF(INDEX(Grid!$C$4:$C$63,B108)="","",INDEX(Grid!$C$4:$C$63,B108)),""))</f>
        <v/>
      </c>
      <c r="D108" s="11" t="n"/>
      <c r="E108" s="12" t="n"/>
      <c r="F108" s="12" t="n"/>
      <c r="G108" s="11" t="n"/>
      <c r="H108" s="11" t="n"/>
      <c r="I108" s="12" t="n"/>
      <c r="J108" s="11" t="n"/>
      <c r="K108" s="11" t="n"/>
    </row>
    <row r="109">
      <c r="A109" s="11" t="inlineStr">
        <is>
          <t>Q106</t>
        </is>
      </c>
      <c r="B109" s="11" t="n"/>
      <c r="C109" s="20">
        <f>IF(B109="","",IFERROR(IF(INDEX(Grid!$C$4:$C$63,B109)="","",INDEX(Grid!$C$4:$C$63,B109)),""))</f>
        <v/>
      </c>
      <c r="D109" s="11" t="n"/>
      <c r="E109" s="12" t="n"/>
      <c r="F109" s="12" t="n"/>
      <c r="G109" s="11" t="n"/>
      <c r="H109" s="11" t="n"/>
      <c r="I109" s="12" t="n"/>
      <c r="J109" s="11" t="n"/>
      <c r="K109" s="11" t="n"/>
    </row>
    <row r="110">
      <c r="A110" s="11" t="inlineStr">
        <is>
          <t>Q107</t>
        </is>
      </c>
      <c r="B110" s="11" t="n"/>
      <c r="C110" s="20">
        <f>IF(B110="","",IFERROR(IF(INDEX(Grid!$C$4:$C$63,B110)="","",INDEX(Grid!$C$4:$C$63,B110)),""))</f>
        <v/>
      </c>
      <c r="D110" s="11" t="n"/>
      <c r="E110" s="12" t="n"/>
      <c r="F110" s="12" t="n"/>
      <c r="G110" s="11" t="n"/>
      <c r="H110" s="11" t="n"/>
      <c r="I110" s="12" t="n"/>
      <c r="J110" s="11" t="n"/>
      <c r="K110" s="11" t="n"/>
    </row>
    <row r="111">
      <c r="A111" s="11" t="inlineStr">
        <is>
          <t>Q108</t>
        </is>
      </c>
      <c r="B111" s="11" t="n"/>
      <c r="C111" s="20">
        <f>IF(B111="","",IFERROR(IF(INDEX(Grid!$C$4:$C$63,B111)="","",INDEX(Grid!$C$4:$C$63,B111)),""))</f>
        <v/>
      </c>
      <c r="D111" s="11" t="n"/>
      <c r="E111" s="12" t="n"/>
      <c r="F111" s="12" t="n"/>
      <c r="G111" s="11" t="n"/>
      <c r="H111" s="11" t="n"/>
      <c r="I111" s="12" t="n"/>
      <c r="J111" s="11" t="n"/>
      <c r="K111" s="11" t="n"/>
    </row>
    <row r="112">
      <c r="A112" s="11" t="inlineStr">
        <is>
          <t>Q109</t>
        </is>
      </c>
      <c r="B112" s="11" t="n"/>
      <c r="C112" s="20">
        <f>IF(B112="","",IFERROR(IF(INDEX(Grid!$C$4:$C$63,B112)="","",INDEX(Grid!$C$4:$C$63,B112)),""))</f>
        <v/>
      </c>
      <c r="D112" s="11" t="n"/>
      <c r="E112" s="12" t="n"/>
      <c r="F112" s="12" t="n"/>
      <c r="G112" s="11" t="n"/>
      <c r="H112" s="11" t="n"/>
      <c r="I112" s="12" t="n"/>
      <c r="J112" s="11" t="n"/>
      <c r="K112" s="11" t="n"/>
    </row>
    <row r="113">
      <c r="A113" s="11" t="inlineStr">
        <is>
          <t>Q110</t>
        </is>
      </c>
      <c r="B113" s="11" t="n"/>
      <c r="C113" s="20">
        <f>IF(B113="","",IFERROR(IF(INDEX(Grid!$C$4:$C$63,B113)="","",INDEX(Grid!$C$4:$C$63,B113)),""))</f>
        <v/>
      </c>
      <c r="D113" s="11" t="n"/>
      <c r="E113" s="12" t="n"/>
      <c r="F113" s="12" t="n"/>
      <c r="G113" s="11" t="n"/>
      <c r="H113" s="11" t="n"/>
      <c r="I113" s="12" t="n"/>
      <c r="J113" s="11" t="n"/>
      <c r="K113" s="11" t="n"/>
    </row>
    <row r="114">
      <c r="A114" s="11" t="inlineStr">
        <is>
          <t>Q111</t>
        </is>
      </c>
      <c r="B114" s="11" t="n"/>
      <c r="C114" s="20">
        <f>IF(B114="","",IFERROR(IF(INDEX(Grid!$C$4:$C$63,B114)="","",INDEX(Grid!$C$4:$C$63,B114)),""))</f>
        <v/>
      </c>
      <c r="D114" s="11" t="n"/>
      <c r="E114" s="12" t="n"/>
      <c r="F114" s="12" t="n"/>
      <c r="G114" s="11" t="n"/>
      <c r="H114" s="11" t="n"/>
      <c r="I114" s="12" t="n"/>
      <c r="J114" s="11" t="n"/>
      <c r="K114" s="11" t="n"/>
    </row>
    <row r="115">
      <c r="A115" s="11" t="inlineStr">
        <is>
          <t>Q112</t>
        </is>
      </c>
      <c r="B115" s="11" t="n"/>
      <c r="C115" s="20">
        <f>IF(B115="","",IFERROR(IF(INDEX(Grid!$C$4:$C$63,B115)="","",INDEX(Grid!$C$4:$C$63,B115)),""))</f>
        <v/>
      </c>
      <c r="D115" s="11" t="n"/>
      <c r="E115" s="12" t="n"/>
      <c r="F115" s="12" t="n"/>
      <c r="G115" s="11" t="n"/>
      <c r="H115" s="11" t="n"/>
      <c r="I115" s="12" t="n"/>
      <c r="J115" s="11" t="n"/>
      <c r="K115" s="11" t="n"/>
    </row>
    <row r="116">
      <c r="A116" s="11" t="inlineStr">
        <is>
          <t>Q113</t>
        </is>
      </c>
      <c r="B116" s="11" t="n"/>
      <c r="C116" s="20">
        <f>IF(B116="","",IFERROR(IF(INDEX(Grid!$C$4:$C$63,B116)="","",INDEX(Grid!$C$4:$C$63,B116)),""))</f>
        <v/>
      </c>
      <c r="D116" s="11" t="n"/>
      <c r="E116" s="12" t="n"/>
      <c r="F116" s="12" t="n"/>
      <c r="G116" s="11" t="n"/>
      <c r="H116" s="11" t="n"/>
      <c r="I116" s="12" t="n"/>
      <c r="J116" s="11" t="n"/>
      <c r="K116" s="11" t="n"/>
    </row>
    <row r="117">
      <c r="A117" s="11" t="inlineStr">
        <is>
          <t>Q114</t>
        </is>
      </c>
      <c r="B117" s="11" t="n"/>
      <c r="C117" s="20">
        <f>IF(B117="","",IFERROR(IF(INDEX(Grid!$C$4:$C$63,B117)="","",INDEX(Grid!$C$4:$C$63,B117)),""))</f>
        <v/>
      </c>
      <c r="D117" s="11" t="n"/>
      <c r="E117" s="12" t="n"/>
      <c r="F117" s="12" t="n"/>
      <c r="G117" s="11" t="n"/>
      <c r="H117" s="11" t="n"/>
      <c r="I117" s="12" t="n"/>
      <c r="J117" s="11" t="n"/>
      <c r="K117" s="11" t="n"/>
    </row>
    <row r="118">
      <c r="A118" s="11" t="inlineStr">
        <is>
          <t>Q115</t>
        </is>
      </c>
      <c r="B118" s="11" t="n"/>
      <c r="C118" s="20">
        <f>IF(B118="","",IFERROR(IF(INDEX(Grid!$C$4:$C$63,B118)="","",INDEX(Grid!$C$4:$C$63,B118)),""))</f>
        <v/>
      </c>
      <c r="D118" s="11" t="n"/>
      <c r="E118" s="12" t="n"/>
      <c r="F118" s="12" t="n"/>
      <c r="G118" s="11" t="n"/>
      <c r="H118" s="11" t="n"/>
      <c r="I118" s="12" t="n"/>
      <c r="J118" s="11" t="n"/>
      <c r="K118" s="11" t="n"/>
    </row>
    <row r="119">
      <c r="A119" s="11" t="inlineStr">
        <is>
          <t>Q116</t>
        </is>
      </c>
      <c r="B119" s="11" t="n"/>
      <c r="C119" s="20">
        <f>IF(B119="","",IFERROR(IF(INDEX(Grid!$C$4:$C$63,B119)="","",INDEX(Grid!$C$4:$C$63,B119)),""))</f>
        <v/>
      </c>
      <c r="D119" s="11" t="n"/>
      <c r="E119" s="12" t="n"/>
      <c r="F119" s="12" t="n"/>
      <c r="G119" s="11" t="n"/>
      <c r="H119" s="11" t="n"/>
      <c r="I119" s="12" t="n"/>
      <c r="J119" s="11" t="n"/>
      <c r="K119" s="11" t="n"/>
    </row>
    <row r="120">
      <c r="A120" s="11" t="inlineStr">
        <is>
          <t>Q117</t>
        </is>
      </c>
      <c r="B120" s="11" t="n"/>
      <c r="C120" s="20">
        <f>IF(B120="","",IFERROR(IF(INDEX(Grid!$C$4:$C$63,B120)="","",INDEX(Grid!$C$4:$C$63,B120)),""))</f>
        <v/>
      </c>
      <c r="D120" s="11" t="n"/>
      <c r="E120" s="12" t="n"/>
      <c r="F120" s="12" t="n"/>
      <c r="G120" s="11" t="n"/>
      <c r="H120" s="11" t="n"/>
      <c r="I120" s="12" t="n"/>
      <c r="J120" s="11" t="n"/>
      <c r="K120" s="11" t="n"/>
    </row>
    <row r="121">
      <c r="A121" s="11" t="inlineStr">
        <is>
          <t>Q118</t>
        </is>
      </c>
      <c r="B121" s="11" t="n"/>
      <c r="C121" s="20">
        <f>IF(B121="","",IFERROR(IF(INDEX(Grid!$C$4:$C$63,B121)="","",INDEX(Grid!$C$4:$C$63,B121)),""))</f>
        <v/>
      </c>
      <c r="D121" s="11" t="n"/>
      <c r="E121" s="12" t="n"/>
      <c r="F121" s="12" t="n"/>
      <c r="G121" s="11" t="n"/>
      <c r="H121" s="11" t="n"/>
      <c r="I121" s="12" t="n"/>
      <c r="J121" s="11" t="n"/>
      <c r="K121" s="11" t="n"/>
    </row>
    <row r="122">
      <c r="A122" s="11" t="inlineStr">
        <is>
          <t>Q119</t>
        </is>
      </c>
      <c r="B122" s="11" t="n"/>
      <c r="C122" s="20">
        <f>IF(B122="","",IFERROR(IF(INDEX(Grid!$C$4:$C$63,B122)="","",INDEX(Grid!$C$4:$C$63,B122)),""))</f>
        <v/>
      </c>
      <c r="D122" s="11" t="n"/>
      <c r="E122" s="12" t="n"/>
      <c r="F122" s="12" t="n"/>
      <c r="G122" s="11" t="n"/>
      <c r="H122" s="11" t="n"/>
      <c r="I122" s="12" t="n"/>
      <c r="J122" s="11" t="n"/>
      <c r="K122" s="11" t="n"/>
    </row>
    <row r="123">
      <c r="A123" s="11" t="inlineStr">
        <is>
          <t>Q120</t>
        </is>
      </c>
      <c r="B123" s="11" t="n"/>
      <c r="C123" s="20">
        <f>IF(B123="","",IFERROR(IF(INDEX(Grid!$C$4:$C$63,B123)="","",INDEX(Grid!$C$4:$C$63,B123)),""))</f>
        <v/>
      </c>
      <c r="D123" s="11" t="n"/>
      <c r="E123" s="12" t="n"/>
      <c r="F123" s="12" t="n"/>
      <c r="G123" s="11" t="n"/>
      <c r="H123" s="11" t="n"/>
      <c r="I123" s="12" t="n"/>
      <c r="J123" s="11" t="n"/>
      <c r="K123" s="11" t="n"/>
    </row>
    <row r="124">
      <c r="A124" s="11" t="inlineStr">
        <is>
          <t>Q121</t>
        </is>
      </c>
      <c r="B124" s="11" t="n"/>
      <c r="C124" s="20">
        <f>IF(B124="","",IFERROR(IF(INDEX(Grid!$C$4:$C$63,B124)="","",INDEX(Grid!$C$4:$C$63,B124)),""))</f>
        <v/>
      </c>
      <c r="D124" s="11" t="n"/>
      <c r="E124" s="12" t="n"/>
      <c r="F124" s="12" t="n"/>
      <c r="G124" s="11" t="n"/>
      <c r="H124" s="11" t="n"/>
      <c r="I124" s="12" t="n"/>
      <c r="J124" s="11" t="n"/>
      <c r="K124" s="11" t="n"/>
    </row>
    <row r="125">
      <c r="A125" s="11" t="inlineStr">
        <is>
          <t>Q122</t>
        </is>
      </c>
      <c r="B125" s="11" t="n"/>
      <c r="C125" s="20">
        <f>IF(B125="","",IFERROR(IF(INDEX(Grid!$C$4:$C$63,B125)="","",INDEX(Grid!$C$4:$C$63,B125)),""))</f>
        <v/>
      </c>
      <c r="D125" s="11" t="n"/>
      <c r="E125" s="12" t="n"/>
      <c r="F125" s="12" t="n"/>
      <c r="G125" s="11" t="n"/>
      <c r="H125" s="11" t="n"/>
      <c r="I125" s="12" t="n"/>
      <c r="J125" s="11" t="n"/>
      <c r="K125" s="11" t="n"/>
    </row>
    <row r="126">
      <c r="A126" s="11" t="inlineStr">
        <is>
          <t>Q123</t>
        </is>
      </c>
      <c r="B126" s="11" t="n"/>
      <c r="C126" s="20">
        <f>IF(B126="","",IFERROR(IF(INDEX(Grid!$C$4:$C$63,B126)="","",INDEX(Grid!$C$4:$C$63,B126)),""))</f>
        <v/>
      </c>
      <c r="D126" s="11" t="n"/>
      <c r="E126" s="12" t="n"/>
      <c r="F126" s="12" t="n"/>
      <c r="G126" s="11" t="n"/>
      <c r="H126" s="11" t="n"/>
      <c r="I126" s="12" t="n"/>
      <c r="J126" s="11" t="n"/>
      <c r="K126" s="11" t="n"/>
    </row>
    <row r="127">
      <c r="A127" s="11" t="inlineStr">
        <is>
          <t>Q124</t>
        </is>
      </c>
      <c r="B127" s="11" t="n"/>
      <c r="C127" s="20">
        <f>IF(B127="","",IFERROR(IF(INDEX(Grid!$C$4:$C$63,B127)="","",INDEX(Grid!$C$4:$C$63,B127)),""))</f>
        <v/>
      </c>
      <c r="D127" s="11" t="n"/>
      <c r="E127" s="12" t="n"/>
      <c r="F127" s="12" t="n"/>
      <c r="G127" s="11" t="n"/>
      <c r="H127" s="11" t="n"/>
      <c r="I127" s="12" t="n"/>
      <c r="J127" s="11" t="n"/>
      <c r="K127" s="11" t="n"/>
    </row>
    <row r="128">
      <c r="A128" s="11" t="inlineStr">
        <is>
          <t>Q125</t>
        </is>
      </c>
      <c r="B128" s="11" t="n"/>
      <c r="C128" s="20">
        <f>IF(B128="","",IFERROR(IF(INDEX(Grid!$C$4:$C$63,B128)="","",INDEX(Grid!$C$4:$C$63,B128)),""))</f>
        <v/>
      </c>
      <c r="D128" s="11" t="n"/>
      <c r="E128" s="12" t="n"/>
      <c r="F128" s="12" t="n"/>
      <c r="G128" s="11" t="n"/>
      <c r="H128" s="11" t="n"/>
      <c r="I128" s="12" t="n"/>
      <c r="J128" s="11" t="n"/>
      <c r="K128" s="11" t="n"/>
    </row>
    <row r="129">
      <c r="A129" s="11" t="inlineStr">
        <is>
          <t>Q126</t>
        </is>
      </c>
      <c r="B129" s="11" t="n"/>
      <c r="C129" s="20">
        <f>IF(B129="","",IFERROR(IF(INDEX(Grid!$C$4:$C$63,B129)="","",INDEX(Grid!$C$4:$C$63,B129)),""))</f>
        <v/>
      </c>
      <c r="D129" s="11" t="n"/>
      <c r="E129" s="12" t="n"/>
      <c r="F129" s="12" t="n"/>
      <c r="G129" s="11" t="n"/>
      <c r="H129" s="11" t="n"/>
      <c r="I129" s="12" t="n"/>
      <c r="J129" s="11" t="n"/>
      <c r="K129" s="11" t="n"/>
    </row>
    <row r="130">
      <c r="A130" s="11" t="inlineStr">
        <is>
          <t>Q127</t>
        </is>
      </c>
      <c r="B130" s="11" t="n"/>
      <c r="C130" s="20">
        <f>IF(B130="","",IFERROR(IF(INDEX(Grid!$C$4:$C$63,B130)="","",INDEX(Grid!$C$4:$C$63,B130)),""))</f>
        <v/>
      </c>
      <c r="D130" s="11" t="n"/>
      <c r="E130" s="12" t="n"/>
      <c r="F130" s="12" t="n"/>
      <c r="G130" s="11" t="n"/>
      <c r="H130" s="11" t="n"/>
      <c r="I130" s="12" t="n"/>
      <c r="J130" s="11" t="n"/>
      <c r="K130" s="11" t="n"/>
    </row>
    <row r="131">
      <c r="A131" s="11" t="inlineStr">
        <is>
          <t>Q128</t>
        </is>
      </c>
      <c r="B131" s="11" t="n"/>
      <c r="C131" s="20">
        <f>IF(B131="","",IFERROR(IF(INDEX(Grid!$C$4:$C$63,B131)="","",INDEX(Grid!$C$4:$C$63,B131)),""))</f>
        <v/>
      </c>
      <c r="D131" s="11" t="n"/>
      <c r="E131" s="12" t="n"/>
      <c r="F131" s="12" t="n"/>
      <c r="G131" s="11" t="n"/>
      <c r="H131" s="11" t="n"/>
      <c r="I131" s="12" t="n"/>
      <c r="J131" s="11" t="n"/>
      <c r="K131" s="11" t="n"/>
    </row>
    <row r="132">
      <c r="A132" s="11" t="inlineStr">
        <is>
          <t>Q129</t>
        </is>
      </c>
      <c r="B132" s="11" t="n"/>
      <c r="C132" s="20">
        <f>IF(B132="","",IFERROR(IF(INDEX(Grid!$C$4:$C$63,B132)="","",INDEX(Grid!$C$4:$C$63,B132)),""))</f>
        <v/>
      </c>
      <c r="D132" s="11" t="n"/>
      <c r="E132" s="12" t="n"/>
      <c r="F132" s="12" t="n"/>
      <c r="G132" s="11" t="n"/>
      <c r="H132" s="11" t="n"/>
      <c r="I132" s="12" t="n"/>
      <c r="J132" s="11" t="n"/>
      <c r="K132" s="11" t="n"/>
    </row>
    <row r="133">
      <c r="A133" s="11" t="inlineStr">
        <is>
          <t>Q130</t>
        </is>
      </c>
      <c r="B133" s="11" t="n"/>
      <c r="C133" s="20">
        <f>IF(B133="","",IFERROR(IF(INDEX(Grid!$C$4:$C$63,B133)="","",INDEX(Grid!$C$4:$C$63,B133)),""))</f>
        <v/>
      </c>
      <c r="D133" s="11" t="n"/>
      <c r="E133" s="12" t="n"/>
      <c r="F133" s="12" t="n"/>
      <c r="G133" s="11" t="n"/>
      <c r="H133" s="11" t="n"/>
      <c r="I133" s="12" t="n"/>
      <c r="J133" s="11" t="n"/>
      <c r="K133" s="11" t="n"/>
    </row>
    <row r="134">
      <c r="A134" s="11" t="inlineStr">
        <is>
          <t>Q131</t>
        </is>
      </c>
      <c r="B134" s="11" t="n"/>
      <c r="C134" s="20">
        <f>IF(B134="","",IFERROR(IF(INDEX(Grid!$C$4:$C$63,B134)="","",INDEX(Grid!$C$4:$C$63,B134)),""))</f>
        <v/>
      </c>
      <c r="D134" s="11" t="n"/>
      <c r="E134" s="12" t="n"/>
      <c r="F134" s="12" t="n"/>
      <c r="G134" s="11" t="n"/>
      <c r="H134" s="11" t="n"/>
      <c r="I134" s="12" t="n"/>
      <c r="J134" s="11" t="n"/>
      <c r="K134" s="11" t="n"/>
    </row>
    <row r="135">
      <c r="A135" s="11" t="inlineStr">
        <is>
          <t>Q132</t>
        </is>
      </c>
      <c r="B135" s="11" t="n"/>
      <c r="C135" s="20">
        <f>IF(B135="","",IFERROR(IF(INDEX(Grid!$C$4:$C$63,B135)="","",INDEX(Grid!$C$4:$C$63,B135)),""))</f>
        <v/>
      </c>
      <c r="D135" s="11" t="n"/>
      <c r="E135" s="12" t="n"/>
      <c r="F135" s="12" t="n"/>
      <c r="G135" s="11" t="n"/>
      <c r="H135" s="11" t="n"/>
      <c r="I135" s="12" t="n"/>
      <c r="J135" s="11" t="n"/>
      <c r="K135" s="11" t="n"/>
    </row>
    <row r="136">
      <c r="A136" s="11" t="inlineStr">
        <is>
          <t>Q133</t>
        </is>
      </c>
      <c r="B136" s="11" t="n"/>
      <c r="C136" s="20">
        <f>IF(B136="","",IFERROR(IF(INDEX(Grid!$C$4:$C$63,B136)="","",INDEX(Grid!$C$4:$C$63,B136)),""))</f>
        <v/>
      </c>
      <c r="D136" s="11" t="n"/>
      <c r="E136" s="12" t="n"/>
      <c r="F136" s="12" t="n"/>
      <c r="G136" s="11" t="n"/>
      <c r="H136" s="11" t="n"/>
      <c r="I136" s="12" t="n"/>
      <c r="J136" s="11" t="n"/>
      <c r="K136" s="11" t="n"/>
    </row>
    <row r="137">
      <c r="A137" s="11" t="inlineStr">
        <is>
          <t>Q134</t>
        </is>
      </c>
      <c r="B137" s="11" t="n"/>
      <c r="C137" s="20">
        <f>IF(B137="","",IFERROR(IF(INDEX(Grid!$C$4:$C$63,B137)="","",INDEX(Grid!$C$4:$C$63,B137)),""))</f>
        <v/>
      </c>
      <c r="D137" s="11" t="n"/>
      <c r="E137" s="12" t="n"/>
      <c r="F137" s="12" t="n"/>
      <c r="G137" s="11" t="n"/>
      <c r="H137" s="11" t="n"/>
      <c r="I137" s="12" t="n"/>
      <c r="J137" s="11" t="n"/>
      <c r="K137" s="11" t="n"/>
    </row>
    <row r="138">
      <c r="A138" s="11" t="inlineStr">
        <is>
          <t>Q135</t>
        </is>
      </c>
      <c r="B138" s="11" t="n"/>
      <c r="C138" s="20">
        <f>IF(B138="","",IFERROR(IF(INDEX(Grid!$C$4:$C$63,B138)="","",INDEX(Grid!$C$4:$C$63,B138)),""))</f>
        <v/>
      </c>
      <c r="D138" s="11" t="n"/>
      <c r="E138" s="12" t="n"/>
      <c r="F138" s="12" t="n"/>
      <c r="G138" s="11" t="n"/>
      <c r="H138" s="11" t="n"/>
      <c r="I138" s="12" t="n"/>
      <c r="J138" s="11" t="n"/>
      <c r="K138" s="11" t="n"/>
    </row>
    <row r="139">
      <c r="A139" s="11" t="inlineStr">
        <is>
          <t>Q136</t>
        </is>
      </c>
      <c r="B139" s="11" t="n"/>
      <c r="C139" s="20">
        <f>IF(B139="","",IFERROR(IF(INDEX(Grid!$C$4:$C$63,B139)="","",INDEX(Grid!$C$4:$C$63,B139)),""))</f>
        <v/>
      </c>
      <c r="D139" s="11" t="n"/>
      <c r="E139" s="12" t="n"/>
      <c r="F139" s="12" t="n"/>
      <c r="G139" s="11" t="n"/>
      <c r="H139" s="11" t="n"/>
      <c r="I139" s="12" t="n"/>
      <c r="J139" s="11" t="n"/>
      <c r="K139" s="11" t="n"/>
    </row>
    <row r="140">
      <c r="A140" s="11" t="inlineStr">
        <is>
          <t>Q137</t>
        </is>
      </c>
      <c r="B140" s="11" t="n"/>
      <c r="C140" s="20">
        <f>IF(B140="","",IFERROR(IF(INDEX(Grid!$C$4:$C$63,B140)="","",INDEX(Grid!$C$4:$C$63,B140)),""))</f>
        <v/>
      </c>
      <c r="D140" s="11" t="n"/>
      <c r="E140" s="12" t="n"/>
      <c r="F140" s="12" t="n"/>
      <c r="G140" s="11" t="n"/>
      <c r="H140" s="11" t="n"/>
      <c r="I140" s="12" t="n"/>
      <c r="J140" s="11" t="n"/>
      <c r="K140" s="11" t="n"/>
    </row>
    <row r="141">
      <c r="A141" s="11" t="inlineStr">
        <is>
          <t>Q138</t>
        </is>
      </c>
      <c r="B141" s="11" t="n"/>
      <c r="C141" s="20">
        <f>IF(B141="","",IFERROR(IF(INDEX(Grid!$C$4:$C$63,B141)="","",INDEX(Grid!$C$4:$C$63,B141)),""))</f>
        <v/>
      </c>
      <c r="D141" s="11" t="n"/>
      <c r="E141" s="12" t="n"/>
      <c r="F141" s="12" t="n"/>
      <c r="G141" s="11" t="n"/>
      <c r="H141" s="11" t="n"/>
      <c r="I141" s="12" t="n"/>
      <c r="J141" s="11" t="n"/>
      <c r="K141" s="11" t="n"/>
    </row>
    <row r="142">
      <c r="A142" s="11" t="inlineStr">
        <is>
          <t>Q139</t>
        </is>
      </c>
      <c r="B142" s="11" t="n"/>
      <c r="C142" s="20">
        <f>IF(B142="","",IFERROR(IF(INDEX(Grid!$C$4:$C$63,B142)="","",INDEX(Grid!$C$4:$C$63,B142)),""))</f>
        <v/>
      </c>
      <c r="D142" s="11" t="n"/>
      <c r="E142" s="12" t="n"/>
      <c r="F142" s="12" t="n"/>
      <c r="G142" s="11" t="n"/>
      <c r="H142" s="11" t="n"/>
      <c r="I142" s="12" t="n"/>
      <c r="J142" s="11" t="n"/>
      <c r="K142" s="11" t="n"/>
    </row>
    <row r="143">
      <c r="A143" s="11" t="inlineStr">
        <is>
          <t>Q140</t>
        </is>
      </c>
      <c r="B143" s="11" t="n"/>
      <c r="C143" s="20">
        <f>IF(B143="","",IFERROR(IF(INDEX(Grid!$C$4:$C$63,B143)="","",INDEX(Grid!$C$4:$C$63,B143)),""))</f>
        <v/>
      </c>
      <c r="D143" s="11" t="n"/>
      <c r="E143" s="12" t="n"/>
      <c r="F143" s="12" t="n"/>
      <c r="G143" s="11" t="n"/>
      <c r="H143" s="11" t="n"/>
      <c r="I143" s="12" t="n"/>
      <c r="J143" s="11" t="n"/>
      <c r="K143" s="11" t="n"/>
    </row>
    <row r="144">
      <c r="A144" s="11" t="inlineStr">
        <is>
          <t>Q141</t>
        </is>
      </c>
      <c r="B144" s="11" t="n"/>
      <c r="C144" s="20">
        <f>IF(B144="","",IFERROR(IF(INDEX(Grid!$C$4:$C$63,B144)="","",INDEX(Grid!$C$4:$C$63,B144)),""))</f>
        <v/>
      </c>
      <c r="D144" s="11" t="n"/>
      <c r="E144" s="12" t="n"/>
      <c r="F144" s="12" t="n"/>
      <c r="G144" s="11" t="n"/>
      <c r="H144" s="11" t="n"/>
      <c r="I144" s="12" t="n"/>
      <c r="J144" s="11" t="n"/>
      <c r="K144" s="11" t="n"/>
    </row>
    <row r="145">
      <c r="A145" s="11" t="inlineStr">
        <is>
          <t>Q142</t>
        </is>
      </c>
      <c r="B145" s="11" t="n"/>
      <c r="C145" s="20">
        <f>IF(B145="","",IFERROR(IF(INDEX(Grid!$C$4:$C$63,B145)="","",INDEX(Grid!$C$4:$C$63,B145)),""))</f>
        <v/>
      </c>
      <c r="D145" s="11" t="n"/>
      <c r="E145" s="12" t="n"/>
      <c r="F145" s="12" t="n"/>
      <c r="G145" s="11" t="n"/>
      <c r="H145" s="11" t="n"/>
      <c r="I145" s="12" t="n"/>
      <c r="J145" s="11" t="n"/>
      <c r="K145" s="11" t="n"/>
    </row>
    <row r="146">
      <c r="A146" s="11" t="inlineStr">
        <is>
          <t>Q143</t>
        </is>
      </c>
      <c r="B146" s="11" t="n"/>
      <c r="C146" s="20">
        <f>IF(B146="","",IFERROR(IF(INDEX(Grid!$C$4:$C$63,B146)="","",INDEX(Grid!$C$4:$C$63,B146)),""))</f>
        <v/>
      </c>
      <c r="D146" s="11" t="n"/>
      <c r="E146" s="12" t="n"/>
      <c r="F146" s="12" t="n"/>
      <c r="G146" s="11" t="n"/>
      <c r="H146" s="11" t="n"/>
      <c r="I146" s="12" t="n"/>
      <c r="J146" s="11" t="n"/>
      <c r="K146" s="11" t="n"/>
    </row>
    <row r="147">
      <c r="A147" s="11" t="inlineStr">
        <is>
          <t>Q144</t>
        </is>
      </c>
      <c r="B147" s="11" t="n"/>
      <c r="C147" s="20">
        <f>IF(B147="","",IFERROR(IF(INDEX(Grid!$C$4:$C$63,B147)="","",INDEX(Grid!$C$4:$C$63,B147)),""))</f>
        <v/>
      </c>
      <c r="D147" s="11" t="n"/>
      <c r="E147" s="12" t="n"/>
      <c r="F147" s="12" t="n"/>
      <c r="G147" s="11" t="n"/>
      <c r="H147" s="11" t="n"/>
      <c r="I147" s="12" t="n"/>
      <c r="J147" s="11" t="n"/>
      <c r="K147" s="11" t="n"/>
    </row>
    <row r="148">
      <c r="A148" s="11" t="inlineStr">
        <is>
          <t>Q145</t>
        </is>
      </c>
      <c r="B148" s="11" t="n"/>
      <c r="C148" s="20">
        <f>IF(B148="","",IFERROR(IF(INDEX(Grid!$C$4:$C$63,B148)="","",INDEX(Grid!$C$4:$C$63,B148)),""))</f>
        <v/>
      </c>
      <c r="D148" s="11" t="n"/>
      <c r="E148" s="12" t="n"/>
      <c r="F148" s="12" t="n"/>
      <c r="G148" s="11" t="n"/>
      <c r="H148" s="11" t="n"/>
      <c r="I148" s="12" t="n"/>
      <c r="J148" s="11" t="n"/>
      <c r="K148" s="11" t="n"/>
    </row>
    <row r="149">
      <c r="A149" s="11" t="inlineStr">
        <is>
          <t>Q146</t>
        </is>
      </c>
      <c r="B149" s="11" t="n"/>
      <c r="C149" s="20">
        <f>IF(B149="","",IFERROR(IF(INDEX(Grid!$C$4:$C$63,B149)="","",INDEX(Grid!$C$4:$C$63,B149)),""))</f>
        <v/>
      </c>
      <c r="D149" s="11" t="n"/>
      <c r="E149" s="12" t="n"/>
      <c r="F149" s="12" t="n"/>
      <c r="G149" s="11" t="n"/>
      <c r="H149" s="11" t="n"/>
      <c r="I149" s="12" t="n"/>
      <c r="J149" s="11" t="n"/>
      <c r="K149" s="11" t="n"/>
    </row>
    <row r="150">
      <c r="A150" s="11" t="inlineStr">
        <is>
          <t>Q147</t>
        </is>
      </c>
      <c r="B150" s="11" t="n"/>
      <c r="C150" s="20">
        <f>IF(B150="","",IFERROR(IF(INDEX(Grid!$C$4:$C$63,B150)="","",INDEX(Grid!$C$4:$C$63,B150)),""))</f>
        <v/>
      </c>
      <c r="D150" s="11" t="n"/>
      <c r="E150" s="12" t="n"/>
      <c r="F150" s="12" t="n"/>
      <c r="G150" s="11" t="n"/>
      <c r="H150" s="11" t="n"/>
      <c r="I150" s="12" t="n"/>
      <c r="J150" s="11" t="n"/>
      <c r="K150" s="11" t="n"/>
    </row>
    <row r="151">
      <c r="A151" s="11" t="inlineStr">
        <is>
          <t>Q148</t>
        </is>
      </c>
      <c r="B151" s="11" t="n"/>
      <c r="C151" s="20">
        <f>IF(B151="","",IFERROR(IF(INDEX(Grid!$C$4:$C$63,B151)="","",INDEX(Grid!$C$4:$C$63,B151)),""))</f>
        <v/>
      </c>
      <c r="D151" s="11" t="n"/>
      <c r="E151" s="12" t="n"/>
      <c r="F151" s="12" t="n"/>
      <c r="G151" s="11" t="n"/>
      <c r="H151" s="11" t="n"/>
      <c r="I151" s="12" t="n"/>
      <c r="J151" s="11" t="n"/>
      <c r="K151" s="11" t="n"/>
    </row>
    <row r="152">
      <c r="A152" s="11" t="inlineStr">
        <is>
          <t>Q149</t>
        </is>
      </c>
      <c r="B152" s="11" t="n"/>
      <c r="C152" s="20">
        <f>IF(B152="","",IFERROR(IF(INDEX(Grid!$C$4:$C$63,B152)="","",INDEX(Grid!$C$4:$C$63,B152)),""))</f>
        <v/>
      </c>
      <c r="D152" s="11" t="n"/>
      <c r="E152" s="12" t="n"/>
      <c r="F152" s="12" t="n"/>
      <c r="G152" s="11" t="n"/>
      <c r="H152" s="11" t="n"/>
      <c r="I152" s="12" t="n"/>
      <c r="J152" s="11" t="n"/>
      <c r="K152" s="11" t="n"/>
    </row>
    <row r="153">
      <c r="A153" s="11" t="inlineStr">
        <is>
          <t>Q150</t>
        </is>
      </c>
      <c r="B153" s="11" t="n"/>
      <c r="C153" s="20">
        <f>IF(B153="","",IFERROR(IF(INDEX(Grid!$C$4:$C$63,B153)="","",INDEX(Grid!$C$4:$C$63,B153)),""))</f>
        <v/>
      </c>
      <c r="D153" s="11" t="n"/>
      <c r="E153" s="12" t="n"/>
      <c r="F153" s="12" t="n"/>
      <c r="G153" s="11" t="n"/>
      <c r="H153" s="11" t="n"/>
      <c r="I153" s="12" t="n"/>
      <c r="J153" s="11" t="n"/>
      <c r="K153" s="11" t="n"/>
    </row>
  </sheetData>
  <conditionalFormatting sqref="H4:H153">
    <cfRule type="cellIs" priority="1" operator="equal" dxfId="6">
      <formula>"Open"</formula>
    </cfRule>
    <cfRule type="cellIs" priority="2" operator="equal" dxfId="7">
      <formula>"Asked"</formula>
    </cfRule>
    <cfRule type="cellIs" priority="3" operator="equal" dxfId="9">
      <formula>"Answered"</formula>
    </cfRule>
    <cfRule type="cellIs" priority="4" operator="equal" dxfId="10">
      <formula>"Closed"</formula>
    </cfRule>
  </conditionalFormatting>
  <dataValidations count="2">
    <dataValidation sqref="H4:H153" showDropDown="0" showInputMessage="0" showErrorMessage="0" allowBlank="1" type="list">
      <formula1>"Open,Asked,Answered,Closed"</formula1>
    </dataValidation>
    <dataValidation sqref="D4:D153" showDropDown="0" showInputMessage="0" showErrorMessage="0" allowBlank="1" type="list">
      <formula1>"departure lead,arrival lead,operations lead,sponsor,modeler"</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03"/>
  <sheetViews>
    <sheetView workbookViewId="0">
      <pane ySplit="3" topLeftCell="A4" activePane="bottomLeft" state="frozen"/>
      <selection pane="bottomLeft" activeCell="A1" sqref="A1"/>
    </sheetView>
  </sheetViews>
  <sheetFormatPr baseColWidth="8" defaultRowHeight="15"/>
  <cols>
    <col width="12" customWidth="1" min="1" max="1"/>
    <col width="8" customWidth="1" min="2" max="2"/>
    <col width="60" customWidth="1" min="3" max="3"/>
    <col width="20" customWidth="1" min="4" max="4"/>
    <col width="12" customWidth="1" min="5" max="5"/>
    <col width="11" customWidth="1" min="6" max="6"/>
    <col width="14" customWidth="1" min="7" max="7"/>
  </cols>
  <sheetData>
    <row r="1">
      <c r="A1" s="14" t="inlineStr">
        <is>
          <t>Change log — dated, the same day</t>
        </is>
      </c>
    </row>
    <row r="2">
      <c r="A2" s="16" t="inlineStr">
        <is>
          <t>When a direction changes or an assumption fails: who said it, what changed, what the model did. This is the record you go back to three weeks later.</t>
        </is>
      </c>
    </row>
    <row r="3">
      <c r="A3" s="17" t="inlineStr">
        <is>
          <t>Date</t>
        </is>
      </c>
      <c r="B3" s="17" t="inlineStr">
        <is>
          <t>Grid #</t>
        </is>
      </c>
      <c r="C3" s="17" t="inlineStr">
        <is>
          <t>What changed (from → to)</t>
        </is>
      </c>
      <c r="D3" s="17" t="inlineStr">
        <is>
          <t>Said by (role or initials)</t>
        </is>
      </c>
      <c r="E3" s="17" t="inlineStr">
        <is>
          <t>Evidence</t>
        </is>
      </c>
      <c r="F3" s="17" t="inlineStr">
        <is>
          <t>FTE change</t>
        </is>
      </c>
      <c r="G3" s="17" t="inlineStr">
        <is>
          <t>Model updated?</t>
        </is>
      </c>
    </row>
    <row r="4">
      <c r="A4" s="11" t="n"/>
      <c r="B4" s="11" t="n"/>
      <c r="C4" s="12" t="n"/>
      <c r="D4" s="11" t="n"/>
      <c r="E4" s="11" t="n"/>
      <c r="F4" s="11" t="n"/>
      <c r="G4" s="11" t="n"/>
    </row>
    <row r="5">
      <c r="A5" s="11" t="n"/>
      <c r="B5" s="11" t="n"/>
      <c r="C5" s="12" t="n"/>
      <c r="D5" s="11" t="n"/>
      <c r="E5" s="11" t="n"/>
      <c r="F5" s="11" t="n"/>
      <c r="G5" s="11" t="n"/>
    </row>
    <row r="6">
      <c r="A6" s="11" t="n"/>
      <c r="B6" s="11" t="n"/>
      <c r="C6" s="12" t="n"/>
      <c r="D6" s="11" t="n"/>
      <c r="E6" s="11" t="n"/>
      <c r="F6" s="11" t="n"/>
      <c r="G6" s="11" t="n"/>
    </row>
    <row r="7">
      <c r="A7" s="11" t="n"/>
      <c r="B7" s="11" t="n"/>
      <c r="C7" s="12" t="n"/>
      <c r="D7" s="11" t="n"/>
      <c r="E7" s="11" t="n"/>
      <c r="F7" s="11" t="n"/>
      <c r="G7" s="11" t="n"/>
    </row>
    <row r="8">
      <c r="A8" s="11" t="n"/>
      <c r="B8" s="11" t="n"/>
      <c r="C8" s="12" t="n"/>
      <c r="D8" s="11" t="n"/>
      <c r="E8" s="11" t="n"/>
      <c r="F8" s="11" t="n"/>
      <c r="G8" s="11" t="n"/>
    </row>
    <row r="9">
      <c r="A9" s="11" t="n"/>
      <c r="B9" s="11" t="n"/>
      <c r="C9" s="12" t="n"/>
      <c r="D9" s="11" t="n"/>
      <c r="E9" s="11" t="n"/>
      <c r="F9" s="11" t="n"/>
      <c r="G9" s="11" t="n"/>
    </row>
    <row r="10">
      <c r="A10" s="11" t="n"/>
      <c r="B10" s="11" t="n"/>
      <c r="C10" s="12" t="n"/>
      <c r="D10" s="11" t="n"/>
      <c r="E10" s="11" t="n"/>
      <c r="F10" s="11" t="n"/>
      <c r="G10" s="11" t="n"/>
    </row>
    <row r="11">
      <c r="A11" s="11" t="n"/>
      <c r="B11" s="11" t="n"/>
      <c r="C11" s="12" t="n"/>
      <c r="D11" s="11" t="n"/>
      <c r="E11" s="11" t="n"/>
      <c r="F11" s="11" t="n"/>
      <c r="G11" s="11" t="n"/>
    </row>
    <row r="12">
      <c r="A12" s="11" t="n"/>
      <c r="B12" s="11" t="n"/>
      <c r="C12" s="12" t="n"/>
      <c r="D12" s="11" t="n"/>
      <c r="E12" s="11" t="n"/>
      <c r="F12" s="11" t="n"/>
      <c r="G12" s="11" t="n"/>
    </row>
    <row r="13">
      <c r="A13" s="11" t="n"/>
      <c r="B13" s="11" t="n"/>
      <c r="C13" s="12" t="n"/>
      <c r="D13" s="11" t="n"/>
      <c r="E13" s="11" t="n"/>
      <c r="F13" s="11" t="n"/>
      <c r="G13" s="11" t="n"/>
    </row>
    <row r="14">
      <c r="A14" s="11" t="n"/>
      <c r="B14" s="11" t="n"/>
      <c r="C14" s="12" t="n"/>
      <c r="D14" s="11" t="n"/>
      <c r="E14" s="11" t="n"/>
      <c r="F14" s="11" t="n"/>
      <c r="G14" s="11" t="n"/>
    </row>
    <row r="15">
      <c r="A15" s="11" t="n"/>
      <c r="B15" s="11" t="n"/>
      <c r="C15" s="12" t="n"/>
      <c r="D15" s="11" t="n"/>
      <c r="E15" s="11" t="n"/>
      <c r="F15" s="11" t="n"/>
      <c r="G15" s="11" t="n"/>
    </row>
    <row r="16">
      <c r="A16" s="11" t="n"/>
      <c r="B16" s="11" t="n"/>
      <c r="C16" s="12" t="n"/>
      <c r="D16" s="11" t="n"/>
      <c r="E16" s="11" t="n"/>
      <c r="F16" s="11" t="n"/>
      <c r="G16" s="11" t="n"/>
    </row>
    <row r="17">
      <c r="A17" s="11" t="n"/>
      <c r="B17" s="11" t="n"/>
      <c r="C17" s="12" t="n"/>
      <c r="D17" s="11" t="n"/>
      <c r="E17" s="11" t="n"/>
      <c r="F17" s="11" t="n"/>
      <c r="G17" s="11" t="n"/>
    </row>
    <row r="18">
      <c r="A18" s="11" t="n"/>
      <c r="B18" s="11" t="n"/>
      <c r="C18" s="12" t="n"/>
      <c r="D18" s="11" t="n"/>
      <c r="E18" s="11" t="n"/>
      <c r="F18" s="11" t="n"/>
      <c r="G18" s="11" t="n"/>
    </row>
    <row r="19">
      <c r="A19" s="11" t="n"/>
      <c r="B19" s="11" t="n"/>
      <c r="C19" s="12" t="n"/>
      <c r="D19" s="11" t="n"/>
      <c r="E19" s="11" t="n"/>
      <c r="F19" s="11" t="n"/>
      <c r="G19" s="11" t="n"/>
    </row>
    <row r="20">
      <c r="A20" s="11" t="n"/>
      <c r="B20" s="11" t="n"/>
      <c r="C20" s="12" t="n"/>
      <c r="D20" s="11" t="n"/>
      <c r="E20" s="11" t="n"/>
      <c r="F20" s="11" t="n"/>
      <c r="G20" s="11" t="n"/>
    </row>
    <row r="21">
      <c r="A21" s="11" t="n"/>
      <c r="B21" s="11" t="n"/>
      <c r="C21" s="12" t="n"/>
      <c r="D21" s="11" t="n"/>
      <c r="E21" s="11" t="n"/>
      <c r="F21" s="11" t="n"/>
      <c r="G21" s="11" t="n"/>
    </row>
    <row r="22">
      <c r="A22" s="11" t="n"/>
      <c r="B22" s="11" t="n"/>
      <c r="C22" s="12" t="n"/>
      <c r="D22" s="11" t="n"/>
      <c r="E22" s="11" t="n"/>
      <c r="F22" s="11" t="n"/>
      <c r="G22" s="11" t="n"/>
    </row>
    <row r="23">
      <c r="A23" s="11" t="n"/>
      <c r="B23" s="11" t="n"/>
      <c r="C23" s="12" t="n"/>
      <c r="D23" s="11" t="n"/>
      <c r="E23" s="11" t="n"/>
      <c r="F23" s="11" t="n"/>
      <c r="G23" s="11" t="n"/>
    </row>
    <row r="24">
      <c r="A24" s="11" t="n"/>
      <c r="B24" s="11" t="n"/>
      <c r="C24" s="12" t="n"/>
      <c r="D24" s="11" t="n"/>
      <c r="E24" s="11" t="n"/>
      <c r="F24" s="11" t="n"/>
      <c r="G24" s="11" t="n"/>
    </row>
    <row r="25">
      <c r="A25" s="11" t="n"/>
      <c r="B25" s="11" t="n"/>
      <c r="C25" s="12" t="n"/>
      <c r="D25" s="11" t="n"/>
      <c r="E25" s="11" t="n"/>
      <c r="F25" s="11" t="n"/>
      <c r="G25" s="11" t="n"/>
    </row>
    <row r="26">
      <c r="A26" s="11" t="n"/>
      <c r="B26" s="11" t="n"/>
      <c r="C26" s="12" t="n"/>
      <c r="D26" s="11" t="n"/>
      <c r="E26" s="11" t="n"/>
      <c r="F26" s="11" t="n"/>
      <c r="G26" s="11" t="n"/>
    </row>
    <row r="27">
      <c r="A27" s="11" t="n"/>
      <c r="B27" s="11" t="n"/>
      <c r="C27" s="12" t="n"/>
      <c r="D27" s="11" t="n"/>
      <c r="E27" s="11" t="n"/>
      <c r="F27" s="11" t="n"/>
      <c r="G27" s="11" t="n"/>
    </row>
    <row r="28">
      <c r="A28" s="11" t="n"/>
      <c r="B28" s="11" t="n"/>
      <c r="C28" s="12" t="n"/>
      <c r="D28" s="11" t="n"/>
      <c r="E28" s="11" t="n"/>
      <c r="F28" s="11" t="n"/>
      <c r="G28" s="11" t="n"/>
    </row>
    <row r="29">
      <c r="A29" s="11" t="n"/>
      <c r="B29" s="11" t="n"/>
      <c r="C29" s="12" t="n"/>
      <c r="D29" s="11" t="n"/>
      <c r="E29" s="11" t="n"/>
      <c r="F29" s="11" t="n"/>
      <c r="G29" s="11" t="n"/>
    </row>
    <row r="30">
      <c r="A30" s="11" t="n"/>
      <c r="B30" s="11" t="n"/>
      <c r="C30" s="12" t="n"/>
      <c r="D30" s="11" t="n"/>
      <c r="E30" s="11" t="n"/>
      <c r="F30" s="11" t="n"/>
      <c r="G30" s="11" t="n"/>
    </row>
    <row r="31">
      <c r="A31" s="11" t="n"/>
      <c r="B31" s="11" t="n"/>
      <c r="C31" s="12" t="n"/>
      <c r="D31" s="11" t="n"/>
      <c r="E31" s="11" t="n"/>
      <c r="F31" s="11" t="n"/>
      <c r="G31" s="11" t="n"/>
    </row>
    <row r="32">
      <c r="A32" s="11" t="n"/>
      <c r="B32" s="11" t="n"/>
      <c r="C32" s="12" t="n"/>
      <c r="D32" s="11" t="n"/>
      <c r="E32" s="11" t="n"/>
      <c r="F32" s="11" t="n"/>
      <c r="G32" s="11" t="n"/>
    </row>
    <row r="33">
      <c r="A33" s="11" t="n"/>
      <c r="B33" s="11" t="n"/>
      <c r="C33" s="12" t="n"/>
      <c r="D33" s="11" t="n"/>
      <c r="E33" s="11" t="n"/>
      <c r="F33" s="11" t="n"/>
      <c r="G33" s="11" t="n"/>
    </row>
    <row r="34">
      <c r="A34" s="11" t="n"/>
      <c r="B34" s="11" t="n"/>
      <c r="C34" s="12" t="n"/>
      <c r="D34" s="11" t="n"/>
      <c r="E34" s="11" t="n"/>
      <c r="F34" s="11" t="n"/>
      <c r="G34" s="11" t="n"/>
    </row>
    <row r="35">
      <c r="A35" s="11" t="n"/>
      <c r="B35" s="11" t="n"/>
      <c r="C35" s="12" t="n"/>
      <c r="D35" s="11" t="n"/>
      <c r="E35" s="11" t="n"/>
      <c r="F35" s="11" t="n"/>
      <c r="G35" s="11" t="n"/>
    </row>
    <row r="36">
      <c r="A36" s="11" t="n"/>
      <c r="B36" s="11" t="n"/>
      <c r="C36" s="12" t="n"/>
      <c r="D36" s="11" t="n"/>
      <c r="E36" s="11" t="n"/>
      <c r="F36" s="11" t="n"/>
      <c r="G36" s="11" t="n"/>
    </row>
    <row r="37">
      <c r="A37" s="11" t="n"/>
      <c r="B37" s="11" t="n"/>
      <c r="C37" s="12" t="n"/>
      <c r="D37" s="11" t="n"/>
      <c r="E37" s="11" t="n"/>
      <c r="F37" s="11" t="n"/>
      <c r="G37" s="11" t="n"/>
    </row>
    <row r="38">
      <c r="A38" s="11" t="n"/>
      <c r="B38" s="11" t="n"/>
      <c r="C38" s="12" t="n"/>
      <c r="D38" s="11" t="n"/>
      <c r="E38" s="11" t="n"/>
      <c r="F38" s="11" t="n"/>
      <c r="G38" s="11" t="n"/>
    </row>
    <row r="39">
      <c r="A39" s="11" t="n"/>
      <c r="B39" s="11" t="n"/>
      <c r="C39" s="12" t="n"/>
      <c r="D39" s="11" t="n"/>
      <c r="E39" s="11" t="n"/>
      <c r="F39" s="11" t="n"/>
      <c r="G39" s="11" t="n"/>
    </row>
    <row r="40">
      <c r="A40" s="11" t="n"/>
      <c r="B40" s="11" t="n"/>
      <c r="C40" s="12" t="n"/>
      <c r="D40" s="11" t="n"/>
      <c r="E40" s="11" t="n"/>
      <c r="F40" s="11" t="n"/>
      <c r="G40" s="11" t="n"/>
    </row>
    <row r="41">
      <c r="A41" s="11" t="n"/>
      <c r="B41" s="11" t="n"/>
      <c r="C41" s="12" t="n"/>
      <c r="D41" s="11" t="n"/>
      <c r="E41" s="11" t="n"/>
      <c r="F41" s="11" t="n"/>
      <c r="G41" s="11" t="n"/>
    </row>
    <row r="42">
      <c r="A42" s="11" t="n"/>
      <c r="B42" s="11" t="n"/>
      <c r="C42" s="12" t="n"/>
      <c r="D42" s="11" t="n"/>
      <c r="E42" s="11" t="n"/>
      <c r="F42" s="11" t="n"/>
      <c r="G42" s="11" t="n"/>
    </row>
    <row r="43">
      <c r="A43" s="11" t="n"/>
      <c r="B43" s="11" t="n"/>
      <c r="C43" s="12" t="n"/>
      <c r="D43" s="11" t="n"/>
      <c r="E43" s="11" t="n"/>
      <c r="F43" s="11" t="n"/>
      <c r="G43" s="11" t="n"/>
    </row>
    <row r="44">
      <c r="A44" s="11" t="n"/>
      <c r="B44" s="11" t="n"/>
      <c r="C44" s="12" t="n"/>
      <c r="D44" s="11" t="n"/>
      <c r="E44" s="11" t="n"/>
      <c r="F44" s="11" t="n"/>
      <c r="G44" s="11" t="n"/>
    </row>
    <row r="45">
      <c r="A45" s="11" t="n"/>
      <c r="B45" s="11" t="n"/>
      <c r="C45" s="12" t="n"/>
      <c r="D45" s="11" t="n"/>
      <c r="E45" s="11" t="n"/>
      <c r="F45" s="11" t="n"/>
      <c r="G45" s="11" t="n"/>
    </row>
    <row r="46">
      <c r="A46" s="11" t="n"/>
      <c r="B46" s="11" t="n"/>
      <c r="C46" s="12" t="n"/>
      <c r="D46" s="11" t="n"/>
      <c r="E46" s="11" t="n"/>
      <c r="F46" s="11" t="n"/>
      <c r="G46" s="11" t="n"/>
    </row>
    <row r="47">
      <c r="A47" s="11" t="n"/>
      <c r="B47" s="11" t="n"/>
      <c r="C47" s="12" t="n"/>
      <c r="D47" s="11" t="n"/>
      <c r="E47" s="11" t="n"/>
      <c r="F47" s="11" t="n"/>
      <c r="G47" s="11" t="n"/>
    </row>
    <row r="48">
      <c r="A48" s="11" t="n"/>
      <c r="B48" s="11" t="n"/>
      <c r="C48" s="12" t="n"/>
      <c r="D48" s="11" t="n"/>
      <c r="E48" s="11" t="n"/>
      <c r="F48" s="11" t="n"/>
      <c r="G48" s="11" t="n"/>
    </row>
    <row r="49">
      <c r="A49" s="11" t="n"/>
      <c r="B49" s="11" t="n"/>
      <c r="C49" s="12" t="n"/>
      <c r="D49" s="11" t="n"/>
      <c r="E49" s="11" t="n"/>
      <c r="F49" s="11" t="n"/>
      <c r="G49" s="11" t="n"/>
    </row>
    <row r="50">
      <c r="A50" s="11" t="n"/>
      <c r="B50" s="11" t="n"/>
      <c r="C50" s="12" t="n"/>
      <c r="D50" s="11" t="n"/>
      <c r="E50" s="11" t="n"/>
      <c r="F50" s="11" t="n"/>
      <c r="G50" s="11" t="n"/>
    </row>
    <row r="51">
      <c r="A51" s="11" t="n"/>
      <c r="B51" s="11" t="n"/>
      <c r="C51" s="12" t="n"/>
      <c r="D51" s="11" t="n"/>
      <c r="E51" s="11" t="n"/>
      <c r="F51" s="11" t="n"/>
      <c r="G51" s="11" t="n"/>
    </row>
    <row r="52">
      <c r="A52" s="11" t="n"/>
      <c r="B52" s="11" t="n"/>
      <c r="C52" s="12" t="n"/>
      <c r="D52" s="11" t="n"/>
      <c r="E52" s="11" t="n"/>
      <c r="F52" s="11" t="n"/>
      <c r="G52" s="11" t="n"/>
    </row>
    <row r="53">
      <c r="A53" s="11" t="n"/>
      <c r="B53" s="11" t="n"/>
      <c r="C53" s="12" t="n"/>
      <c r="D53" s="11" t="n"/>
      <c r="E53" s="11" t="n"/>
      <c r="F53" s="11" t="n"/>
      <c r="G53" s="11" t="n"/>
    </row>
    <row r="54">
      <c r="A54" s="11" t="n"/>
      <c r="B54" s="11" t="n"/>
      <c r="C54" s="12" t="n"/>
      <c r="D54" s="11" t="n"/>
      <c r="E54" s="11" t="n"/>
      <c r="F54" s="11" t="n"/>
      <c r="G54" s="11" t="n"/>
    </row>
    <row r="55">
      <c r="A55" s="11" t="n"/>
      <c r="B55" s="11" t="n"/>
      <c r="C55" s="12" t="n"/>
      <c r="D55" s="11" t="n"/>
      <c r="E55" s="11" t="n"/>
      <c r="F55" s="11" t="n"/>
      <c r="G55" s="11" t="n"/>
    </row>
    <row r="56">
      <c r="A56" s="11" t="n"/>
      <c r="B56" s="11" t="n"/>
      <c r="C56" s="12" t="n"/>
      <c r="D56" s="11" t="n"/>
      <c r="E56" s="11" t="n"/>
      <c r="F56" s="11" t="n"/>
      <c r="G56" s="11" t="n"/>
    </row>
    <row r="57">
      <c r="A57" s="11" t="n"/>
      <c r="B57" s="11" t="n"/>
      <c r="C57" s="12" t="n"/>
      <c r="D57" s="11" t="n"/>
      <c r="E57" s="11" t="n"/>
      <c r="F57" s="11" t="n"/>
      <c r="G57" s="11" t="n"/>
    </row>
    <row r="58">
      <c r="A58" s="11" t="n"/>
      <c r="B58" s="11" t="n"/>
      <c r="C58" s="12" t="n"/>
      <c r="D58" s="11" t="n"/>
      <c r="E58" s="11" t="n"/>
      <c r="F58" s="11" t="n"/>
      <c r="G58" s="11" t="n"/>
    </row>
    <row r="59">
      <c r="A59" s="11" t="n"/>
      <c r="B59" s="11" t="n"/>
      <c r="C59" s="12" t="n"/>
      <c r="D59" s="11" t="n"/>
      <c r="E59" s="11" t="n"/>
      <c r="F59" s="11" t="n"/>
      <c r="G59" s="11" t="n"/>
    </row>
    <row r="60">
      <c r="A60" s="11" t="n"/>
      <c r="B60" s="11" t="n"/>
      <c r="C60" s="12" t="n"/>
      <c r="D60" s="11" t="n"/>
      <c r="E60" s="11" t="n"/>
      <c r="F60" s="11" t="n"/>
      <c r="G60" s="11" t="n"/>
    </row>
    <row r="61">
      <c r="A61" s="11" t="n"/>
      <c r="B61" s="11" t="n"/>
      <c r="C61" s="12" t="n"/>
      <c r="D61" s="11" t="n"/>
      <c r="E61" s="11" t="n"/>
      <c r="F61" s="11" t="n"/>
      <c r="G61" s="11" t="n"/>
    </row>
    <row r="62">
      <c r="A62" s="11" t="n"/>
      <c r="B62" s="11" t="n"/>
      <c r="C62" s="12" t="n"/>
      <c r="D62" s="11" t="n"/>
      <c r="E62" s="11" t="n"/>
      <c r="F62" s="11" t="n"/>
      <c r="G62" s="11" t="n"/>
    </row>
    <row r="63">
      <c r="A63" s="11" t="n"/>
      <c r="B63" s="11" t="n"/>
      <c r="C63" s="12" t="n"/>
      <c r="D63" s="11" t="n"/>
      <c r="E63" s="11" t="n"/>
      <c r="F63" s="11" t="n"/>
      <c r="G63" s="11" t="n"/>
    </row>
    <row r="64">
      <c r="A64" s="11" t="n"/>
      <c r="B64" s="11" t="n"/>
      <c r="C64" s="12" t="n"/>
      <c r="D64" s="11" t="n"/>
      <c r="E64" s="11" t="n"/>
      <c r="F64" s="11" t="n"/>
      <c r="G64" s="11" t="n"/>
    </row>
    <row r="65">
      <c r="A65" s="11" t="n"/>
      <c r="B65" s="11" t="n"/>
      <c r="C65" s="12" t="n"/>
      <c r="D65" s="11" t="n"/>
      <c r="E65" s="11" t="n"/>
      <c r="F65" s="11" t="n"/>
      <c r="G65" s="11" t="n"/>
    </row>
    <row r="66">
      <c r="A66" s="11" t="n"/>
      <c r="B66" s="11" t="n"/>
      <c r="C66" s="12" t="n"/>
      <c r="D66" s="11" t="n"/>
      <c r="E66" s="11" t="n"/>
      <c r="F66" s="11" t="n"/>
      <c r="G66" s="11" t="n"/>
    </row>
    <row r="67">
      <c r="A67" s="11" t="n"/>
      <c r="B67" s="11" t="n"/>
      <c r="C67" s="12" t="n"/>
      <c r="D67" s="11" t="n"/>
      <c r="E67" s="11" t="n"/>
      <c r="F67" s="11" t="n"/>
      <c r="G67" s="11" t="n"/>
    </row>
    <row r="68">
      <c r="A68" s="11" t="n"/>
      <c r="B68" s="11" t="n"/>
      <c r="C68" s="12" t="n"/>
      <c r="D68" s="11" t="n"/>
      <c r="E68" s="11" t="n"/>
      <c r="F68" s="11" t="n"/>
      <c r="G68" s="11" t="n"/>
    </row>
    <row r="69">
      <c r="A69" s="11" t="n"/>
      <c r="B69" s="11" t="n"/>
      <c r="C69" s="12" t="n"/>
      <c r="D69" s="11" t="n"/>
      <c r="E69" s="11" t="n"/>
      <c r="F69" s="11" t="n"/>
      <c r="G69" s="11" t="n"/>
    </row>
    <row r="70">
      <c r="A70" s="11" t="n"/>
      <c r="B70" s="11" t="n"/>
      <c r="C70" s="12" t="n"/>
      <c r="D70" s="11" t="n"/>
      <c r="E70" s="11" t="n"/>
      <c r="F70" s="11" t="n"/>
      <c r="G70" s="11" t="n"/>
    </row>
    <row r="71">
      <c r="A71" s="11" t="n"/>
      <c r="B71" s="11" t="n"/>
      <c r="C71" s="12" t="n"/>
      <c r="D71" s="11" t="n"/>
      <c r="E71" s="11" t="n"/>
      <c r="F71" s="11" t="n"/>
      <c r="G71" s="11" t="n"/>
    </row>
    <row r="72">
      <c r="A72" s="11" t="n"/>
      <c r="B72" s="11" t="n"/>
      <c r="C72" s="12" t="n"/>
      <c r="D72" s="11" t="n"/>
      <c r="E72" s="11" t="n"/>
      <c r="F72" s="11" t="n"/>
      <c r="G72" s="11" t="n"/>
    </row>
    <row r="73">
      <c r="A73" s="11" t="n"/>
      <c r="B73" s="11" t="n"/>
      <c r="C73" s="12" t="n"/>
      <c r="D73" s="11" t="n"/>
      <c r="E73" s="11" t="n"/>
      <c r="F73" s="11" t="n"/>
      <c r="G73" s="11" t="n"/>
    </row>
    <row r="74">
      <c r="A74" s="11" t="n"/>
      <c r="B74" s="11" t="n"/>
      <c r="C74" s="12" t="n"/>
      <c r="D74" s="11" t="n"/>
      <c r="E74" s="11" t="n"/>
      <c r="F74" s="11" t="n"/>
      <c r="G74" s="11" t="n"/>
    </row>
    <row r="75">
      <c r="A75" s="11" t="n"/>
      <c r="B75" s="11" t="n"/>
      <c r="C75" s="12" t="n"/>
      <c r="D75" s="11" t="n"/>
      <c r="E75" s="11" t="n"/>
      <c r="F75" s="11" t="n"/>
      <c r="G75" s="11" t="n"/>
    </row>
    <row r="76">
      <c r="A76" s="11" t="n"/>
      <c r="B76" s="11" t="n"/>
      <c r="C76" s="12" t="n"/>
      <c r="D76" s="11" t="n"/>
      <c r="E76" s="11" t="n"/>
      <c r="F76" s="11" t="n"/>
      <c r="G76" s="11" t="n"/>
    </row>
    <row r="77">
      <c r="A77" s="11" t="n"/>
      <c r="B77" s="11" t="n"/>
      <c r="C77" s="12" t="n"/>
      <c r="D77" s="11" t="n"/>
      <c r="E77" s="11" t="n"/>
      <c r="F77" s="11" t="n"/>
      <c r="G77" s="11" t="n"/>
    </row>
    <row r="78">
      <c r="A78" s="11" t="n"/>
      <c r="B78" s="11" t="n"/>
      <c r="C78" s="12" t="n"/>
      <c r="D78" s="11" t="n"/>
      <c r="E78" s="11" t="n"/>
      <c r="F78" s="11" t="n"/>
      <c r="G78" s="11" t="n"/>
    </row>
    <row r="79">
      <c r="A79" s="11" t="n"/>
      <c r="B79" s="11" t="n"/>
      <c r="C79" s="12" t="n"/>
      <c r="D79" s="11" t="n"/>
      <c r="E79" s="11" t="n"/>
      <c r="F79" s="11" t="n"/>
      <c r="G79" s="11" t="n"/>
    </row>
    <row r="80">
      <c r="A80" s="11" t="n"/>
      <c r="B80" s="11" t="n"/>
      <c r="C80" s="12" t="n"/>
      <c r="D80" s="11" t="n"/>
      <c r="E80" s="11" t="n"/>
      <c r="F80" s="11" t="n"/>
      <c r="G80" s="11" t="n"/>
    </row>
    <row r="81">
      <c r="A81" s="11" t="n"/>
      <c r="B81" s="11" t="n"/>
      <c r="C81" s="12" t="n"/>
      <c r="D81" s="11" t="n"/>
      <c r="E81" s="11" t="n"/>
      <c r="F81" s="11" t="n"/>
      <c r="G81" s="11" t="n"/>
    </row>
    <row r="82">
      <c r="A82" s="11" t="n"/>
      <c r="B82" s="11" t="n"/>
      <c r="C82" s="12" t="n"/>
      <c r="D82" s="11" t="n"/>
      <c r="E82" s="11" t="n"/>
      <c r="F82" s="11" t="n"/>
      <c r="G82" s="11" t="n"/>
    </row>
    <row r="83">
      <c r="A83" s="11" t="n"/>
      <c r="B83" s="11" t="n"/>
      <c r="C83" s="12" t="n"/>
      <c r="D83" s="11" t="n"/>
      <c r="E83" s="11" t="n"/>
      <c r="F83" s="11" t="n"/>
      <c r="G83" s="11" t="n"/>
    </row>
    <row r="84">
      <c r="A84" s="11" t="n"/>
      <c r="B84" s="11" t="n"/>
      <c r="C84" s="12" t="n"/>
      <c r="D84" s="11" t="n"/>
      <c r="E84" s="11" t="n"/>
      <c r="F84" s="11" t="n"/>
      <c r="G84" s="11" t="n"/>
    </row>
    <row r="85">
      <c r="A85" s="11" t="n"/>
      <c r="B85" s="11" t="n"/>
      <c r="C85" s="12" t="n"/>
      <c r="D85" s="11" t="n"/>
      <c r="E85" s="11" t="n"/>
      <c r="F85" s="11" t="n"/>
      <c r="G85" s="11" t="n"/>
    </row>
    <row r="86">
      <c r="A86" s="11" t="n"/>
      <c r="B86" s="11" t="n"/>
      <c r="C86" s="12" t="n"/>
      <c r="D86" s="11" t="n"/>
      <c r="E86" s="11" t="n"/>
      <c r="F86" s="11" t="n"/>
      <c r="G86" s="11" t="n"/>
    </row>
    <row r="87">
      <c r="A87" s="11" t="n"/>
      <c r="B87" s="11" t="n"/>
      <c r="C87" s="12" t="n"/>
      <c r="D87" s="11" t="n"/>
      <c r="E87" s="11" t="n"/>
      <c r="F87" s="11" t="n"/>
      <c r="G87" s="11" t="n"/>
    </row>
    <row r="88">
      <c r="A88" s="11" t="n"/>
      <c r="B88" s="11" t="n"/>
      <c r="C88" s="12" t="n"/>
      <c r="D88" s="11" t="n"/>
      <c r="E88" s="11" t="n"/>
      <c r="F88" s="11" t="n"/>
      <c r="G88" s="11" t="n"/>
    </row>
    <row r="89">
      <c r="A89" s="11" t="n"/>
      <c r="B89" s="11" t="n"/>
      <c r="C89" s="12" t="n"/>
      <c r="D89" s="11" t="n"/>
      <c r="E89" s="11" t="n"/>
      <c r="F89" s="11" t="n"/>
      <c r="G89" s="11" t="n"/>
    </row>
    <row r="90">
      <c r="A90" s="11" t="n"/>
      <c r="B90" s="11" t="n"/>
      <c r="C90" s="12" t="n"/>
      <c r="D90" s="11" t="n"/>
      <c r="E90" s="11" t="n"/>
      <c r="F90" s="11" t="n"/>
      <c r="G90" s="11" t="n"/>
    </row>
    <row r="91">
      <c r="A91" s="11" t="n"/>
      <c r="B91" s="11" t="n"/>
      <c r="C91" s="12" t="n"/>
      <c r="D91" s="11" t="n"/>
      <c r="E91" s="11" t="n"/>
      <c r="F91" s="11" t="n"/>
      <c r="G91" s="11" t="n"/>
    </row>
    <row r="92">
      <c r="A92" s="11" t="n"/>
      <c r="B92" s="11" t="n"/>
      <c r="C92" s="12" t="n"/>
      <c r="D92" s="11" t="n"/>
      <c r="E92" s="11" t="n"/>
      <c r="F92" s="11" t="n"/>
      <c r="G92" s="11" t="n"/>
    </row>
    <row r="93">
      <c r="A93" s="11" t="n"/>
      <c r="B93" s="11" t="n"/>
      <c r="C93" s="12" t="n"/>
      <c r="D93" s="11" t="n"/>
      <c r="E93" s="11" t="n"/>
      <c r="F93" s="11" t="n"/>
      <c r="G93" s="11" t="n"/>
    </row>
    <row r="94">
      <c r="A94" s="11" t="n"/>
      <c r="B94" s="11" t="n"/>
      <c r="C94" s="12" t="n"/>
      <c r="D94" s="11" t="n"/>
      <c r="E94" s="11" t="n"/>
      <c r="F94" s="11" t="n"/>
      <c r="G94" s="11" t="n"/>
    </row>
    <row r="95">
      <c r="A95" s="11" t="n"/>
      <c r="B95" s="11" t="n"/>
      <c r="C95" s="12" t="n"/>
      <c r="D95" s="11" t="n"/>
      <c r="E95" s="11" t="n"/>
      <c r="F95" s="11" t="n"/>
      <c r="G95" s="11" t="n"/>
    </row>
    <row r="96">
      <c r="A96" s="11" t="n"/>
      <c r="B96" s="11" t="n"/>
      <c r="C96" s="12" t="n"/>
      <c r="D96" s="11" t="n"/>
      <c r="E96" s="11" t="n"/>
      <c r="F96" s="11" t="n"/>
      <c r="G96" s="11" t="n"/>
    </row>
    <row r="97">
      <c r="A97" s="11" t="n"/>
      <c r="B97" s="11" t="n"/>
      <c r="C97" s="12" t="n"/>
      <c r="D97" s="11" t="n"/>
      <c r="E97" s="11" t="n"/>
      <c r="F97" s="11" t="n"/>
      <c r="G97" s="11" t="n"/>
    </row>
    <row r="98">
      <c r="A98" s="11" t="n"/>
      <c r="B98" s="11" t="n"/>
      <c r="C98" s="12" t="n"/>
      <c r="D98" s="11" t="n"/>
      <c r="E98" s="11" t="n"/>
      <c r="F98" s="11" t="n"/>
      <c r="G98" s="11" t="n"/>
    </row>
    <row r="99">
      <c r="A99" s="11" t="n"/>
      <c r="B99" s="11" t="n"/>
      <c r="C99" s="12" t="n"/>
      <c r="D99" s="11" t="n"/>
      <c r="E99" s="11" t="n"/>
      <c r="F99" s="11" t="n"/>
      <c r="G99" s="11" t="n"/>
    </row>
    <row r="100">
      <c r="A100" s="11" t="n"/>
      <c r="B100" s="11" t="n"/>
      <c r="C100" s="12" t="n"/>
      <c r="D100" s="11" t="n"/>
      <c r="E100" s="11" t="n"/>
      <c r="F100" s="11" t="n"/>
      <c r="G100" s="11" t="n"/>
    </row>
    <row r="101">
      <c r="A101" s="11" t="n"/>
      <c r="B101" s="11" t="n"/>
      <c r="C101" s="12" t="n"/>
      <c r="D101" s="11" t="n"/>
      <c r="E101" s="11" t="n"/>
      <c r="F101" s="11" t="n"/>
      <c r="G101" s="11" t="n"/>
    </row>
    <row r="102">
      <c r="A102" s="11" t="n"/>
      <c r="B102" s="11" t="n"/>
      <c r="C102" s="12" t="n"/>
      <c r="D102" s="11" t="n"/>
      <c r="E102" s="11" t="n"/>
      <c r="F102" s="11" t="n"/>
      <c r="G102" s="11" t="n"/>
    </row>
    <row r="103">
      <c r="A103" s="11" t="n"/>
      <c r="B103" s="11" t="n"/>
      <c r="C103" s="12" t="n"/>
      <c r="D103" s="11" t="n"/>
      <c r="E103" s="11" t="n"/>
      <c r="F103" s="11" t="n"/>
      <c r="G103" s="11" t="n"/>
    </row>
    <row r="104">
      <c r="A104" s="11" t="n"/>
      <c r="B104" s="11" t="n"/>
      <c r="C104" s="12" t="n"/>
      <c r="D104" s="11" t="n"/>
      <c r="E104" s="11" t="n"/>
      <c r="F104" s="11" t="n"/>
      <c r="G104" s="11" t="n"/>
    </row>
    <row r="105">
      <c r="A105" s="11" t="n"/>
      <c r="B105" s="11" t="n"/>
      <c r="C105" s="12" t="n"/>
      <c r="D105" s="11" t="n"/>
      <c r="E105" s="11" t="n"/>
      <c r="F105" s="11" t="n"/>
      <c r="G105" s="11" t="n"/>
    </row>
    <row r="106">
      <c r="A106" s="11" t="n"/>
      <c r="B106" s="11" t="n"/>
      <c r="C106" s="12" t="n"/>
      <c r="D106" s="11" t="n"/>
      <c r="E106" s="11" t="n"/>
      <c r="F106" s="11" t="n"/>
      <c r="G106" s="11" t="n"/>
    </row>
    <row r="107">
      <c r="A107" s="11" t="n"/>
      <c r="B107" s="11" t="n"/>
      <c r="C107" s="12" t="n"/>
      <c r="D107" s="11" t="n"/>
      <c r="E107" s="11" t="n"/>
      <c r="F107" s="11" t="n"/>
      <c r="G107" s="11" t="n"/>
    </row>
    <row r="108">
      <c r="A108" s="11" t="n"/>
      <c r="B108" s="11" t="n"/>
      <c r="C108" s="12" t="n"/>
      <c r="D108" s="11" t="n"/>
      <c r="E108" s="11" t="n"/>
      <c r="F108" s="11" t="n"/>
      <c r="G108" s="11" t="n"/>
    </row>
    <row r="109">
      <c r="A109" s="11" t="n"/>
      <c r="B109" s="11" t="n"/>
      <c r="C109" s="12" t="n"/>
      <c r="D109" s="11" t="n"/>
      <c r="E109" s="11" t="n"/>
      <c r="F109" s="11" t="n"/>
      <c r="G109" s="11" t="n"/>
    </row>
    <row r="110">
      <c r="A110" s="11" t="n"/>
      <c r="B110" s="11" t="n"/>
      <c r="C110" s="12" t="n"/>
      <c r="D110" s="11" t="n"/>
      <c r="E110" s="11" t="n"/>
      <c r="F110" s="11" t="n"/>
      <c r="G110" s="11" t="n"/>
    </row>
    <row r="111">
      <c r="A111" s="11" t="n"/>
      <c r="B111" s="11" t="n"/>
      <c r="C111" s="12" t="n"/>
      <c r="D111" s="11" t="n"/>
      <c r="E111" s="11" t="n"/>
      <c r="F111" s="11" t="n"/>
      <c r="G111" s="11" t="n"/>
    </row>
    <row r="112">
      <c r="A112" s="11" t="n"/>
      <c r="B112" s="11" t="n"/>
      <c r="C112" s="12" t="n"/>
      <c r="D112" s="11" t="n"/>
      <c r="E112" s="11" t="n"/>
      <c r="F112" s="11" t="n"/>
      <c r="G112" s="11" t="n"/>
    </row>
    <row r="113">
      <c r="A113" s="11" t="n"/>
      <c r="B113" s="11" t="n"/>
      <c r="C113" s="12" t="n"/>
      <c r="D113" s="11" t="n"/>
      <c r="E113" s="11" t="n"/>
      <c r="F113" s="11" t="n"/>
      <c r="G113" s="11" t="n"/>
    </row>
    <row r="114">
      <c r="A114" s="11" t="n"/>
      <c r="B114" s="11" t="n"/>
      <c r="C114" s="12" t="n"/>
      <c r="D114" s="11" t="n"/>
      <c r="E114" s="11" t="n"/>
      <c r="F114" s="11" t="n"/>
      <c r="G114" s="11" t="n"/>
    </row>
    <row r="115">
      <c r="A115" s="11" t="n"/>
      <c r="B115" s="11" t="n"/>
      <c r="C115" s="12" t="n"/>
      <c r="D115" s="11" t="n"/>
      <c r="E115" s="11" t="n"/>
      <c r="F115" s="11" t="n"/>
      <c r="G115" s="11" t="n"/>
    </row>
    <row r="116">
      <c r="A116" s="11" t="n"/>
      <c r="B116" s="11" t="n"/>
      <c r="C116" s="12" t="n"/>
      <c r="D116" s="11" t="n"/>
      <c r="E116" s="11" t="n"/>
      <c r="F116" s="11" t="n"/>
      <c r="G116" s="11" t="n"/>
    </row>
    <row r="117">
      <c r="A117" s="11" t="n"/>
      <c r="B117" s="11" t="n"/>
      <c r="C117" s="12" t="n"/>
      <c r="D117" s="11" t="n"/>
      <c r="E117" s="11" t="n"/>
      <c r="F117" s="11" t="n"/>
      <c r="G117" s="11" t="n"/>
    </row>
    <row r="118">
      <c r="A118" s="11" t="n"/>
      <c r="B118" s="11" t="n"/>
      <c r="C118" s="12" t="n"/>
      <c r="D118" s="11" t="n"/>
      <c r="E118" s="11" t="n"/>
      <c r="F118" s="11" t="n"/>
      <c r="G118" s="11" t="n"/>
    </row>
    <row r="119">
      <c r="A119" s="11" t="n"/>
      <c r="B119" s="11" t="n"/>
      <c r="C119" s="12" t="n"/>
      <c r="D119" s="11" t="n"/>
      <c r="E119" s="11" t="n"/>
      <c r="F119" s="11" t="n"/>
      <c r="G119" s="11" t="n"/>
    </row>
    <row r="120">
      <c r="A120" s="11" t="n"/>
      <c r="B120" s="11" t="n"/>
      <c r="C120" s="12" t="n"/>
      <c r="D120" s="11" t="n"/>
      <c r="E120" s="11" t="n"/>
      <c r="F120" s="11" t="n"/>
      <c r="G120" s="11" t="n"/>
    </row>
    <row r="121">
      <c r="A121" s="11" t="n"/>
      <c r="B121" s="11" t="n"/>
      <c r="C121" s="12" t="n"/>
      <c r="D121" s="11" t="n"/>
      <c r="E121" s="11" t="n"/>
      <c r="F121" s="11" t="n"/>
      <c r="G121" s="11" t="n"/>
    </row>
    <row r="122">
      <c r="A122" s="11" t="n"/>
      <c r="B122" s="11" t="n"/>
      <c r="C122" s="12" t="n"/>
      <c r="D122" s="11" t="n"/>
      <c r="E122" s="11" t="n"/>
      <c r="F122" s="11" t="n"/>
      <c r="G122" s="11" t="n"/>
    </row>
    <row r="123">
      <c r="A123" s="11" t="n"/>
      <c r="B123" s="11" t="n"/>
      <c r="C123" s="12" t="n"/>
      <c r="D123" s="11" t="n"/>
      <c r="E123" s="11" t="n"/>
      <c r="F123" s="11" t="n"/>
      <c r="G123" s="11" t="n"/>
    </row>
    <row r="124">
      <c r="A124" s="11" t="n"/>
      <c r="B124" s="11" t="n"/>
      <c r="C124" s="12" t="n"/>
      <c r="D124" s="11" t="n"/>
      <c r="E124" s="11" t="n"/>
      <c r="F124" s="11" t="n"/>
      <c r="G124" s="11" t="n"/>
    </row>
    <row r="125">
      <c r="A125" s="11" t="n"/>
      <c r="B125" s="11" t="n"/>
      <c r="C125" s="12" t="n"/>
      <c r="D125" s="11" t="n"/>
      <c r="E125" s="11" t="n"/>
      <c r="F125" s="11" t="n"/>
      <c r="G125" s="11" t="n"/>
    </row>
    <row r="126">
      <c r="A126" s="11" t="n"/>
      <c r="B126" s="11" t="n"/>
      <c r="C126" s="12" t="n"/>
      <c r="D126" s="11" t="n"/>
      <c r="E126" s="11" t="n"/>
      <c r="F126" s="11" t="n"/>
      <c r="G126" s="11" t="n"/>
    </row>
    <row r="127">
      <c r="A127" s="11" t="n"/>
      <c r="B127" s="11" t="n"/>
      <c r="C127" s="12" t="n"/>
      <c r="D127" s="11" t="n"/>
      <c r="E127" s="11" t="n"/>
      <c r="F127" s="11" t="n"/>
      <c r="G127" s="11" t="n"/>
    </row>
    <row r="128">
      <c r="A128" s="11" t="n"/>
      <c r="B128" s="11" t="n"/>
      <c r="C128" s="12" t="n"/>
      <c r="D128" s="11" t="n"/>
      <c r="E128" s="11" t="n"/>
      <c r="F128" s="11" t="n"/>
      <c r="G128" s="11" t="n"/>
    </row>
    <row r="129">
      <c r="A129" s="11" t="n"/>
      <c r="B129" s="11" t="n"/>
      <c r="C129" s="12" t="n"/>
      <c r="D129" s="11" t="n"/>
      <c r="E129" s="11" t="n"/>
      <c r="F129" s="11" t="n"/>
      <c r="G129" s="11" t="n"/>
    </row>
    <row r="130">
      <c r="A130" s="11" t="n"/>
      <c r="B130" s="11" t="n"/>
      <c r="C130" s="12" t="n"/>
      <c r="D130" s="11" t="n"/>
      <c r="E130" s="11" t="n"/>
      <c r="F130" s="11" t="n"/>
      <c r="G130" s="11" t="n"/>
    </row>
    <row r="131">
      <c r="A131" s="11" t="n"/>
      <c r="B131" s="11" t="n"/>
      <c r="C131" s="12" t="n"/>
      <c r="D131" s="11" t="n"/>
      <c r="E131" s="11" t="n"/>
      <c r="F131" s="11" t="n"/>
      <c r="G131" s="11" t="n"/>
    </row>
    <row r="132">
      <c r="A132" s="11" t="n"/>
      <c r="B132" s="11" t="n"/>
      <c r="C132" s="12" t="n"/>
      <c r="D132" s="11" t="n"/>
      <c r="E132" s="11" t="n"/>
      <c r="F132" s="11" t="n"/>
      <c r="G132" s="11" t="n"/>
    </row>
    <row r="133">
      <c r="A133" s="11" t="n"/>
      <c r="B133" s="11" t="n"/>
      <c r="C133" s="12" t="n"/>
      <c r="D133" s="11" t="n"/>
      <c r="E133" s="11" t="n"/>
      <c r="F133" s="11" t="n"/>
      <c r="G133" s="11" t="n"/>
    </row>
    <row r="134">
      <c r="A134" s="11" t="n"/>
      <c r="B134" s="11" t="n"/>
      <c r="C134" s="12" t="n"/>
      <c r="D134" s="11" t="n"/>
      <c r="E134" s="11" t="n"/>
      <c r="F134" s="11" t="n"/>
      <c r="G134" s="11" t="n"/>
    </row>
    <row r="135">
      <c r="A135" s="11" t="n"/>
      <c r="B135" s="11" t="n"/>
      <c r="C135" s="12" t="n"/>
      <c r="D135" s="11" t="n"/>
      <c r="E135" s="11" t="n"/>
      <c r="F135" s="11" t="n"/>
      <c r="G135" s="11" t="n"/>
    </row>
    <row r="136">
      <c r="A136" s="11" t="n"/>
      <c r="B136" s="11" t="n"/>
      <c r="C136" s="12" t="n"/>
      <c r="D136" s="11" t="n"/>
      <c r="E136" s="11" t="n"/>
      <c r="F136" s="11" t="n"/>
      <c r="G136" s="11" t="n"/>
    </row>
    <row r="137">
      <c r="A137" s="11" t="n"/>
      <c r="B137" s="11" t="n"/>
      <c r="C137" s="12" t="n"/>
      <c r="D137" s="11" t="n"/>
      <c r="E137" s="11" t="n"/>
      <c r="F137" s="11" t="n"/>
      <c r="G137" s="11" t="n"/>
    </row>
    <row r="138">
      <c r="A138" s="11" t="n"/>
      <c r="B138" s="11" t="n"/>
      <c r="C138" s="12" t="n"/>
      <c r="D138" s="11" t="n"/>
      <c r="E138" s="11" t="n"/>
      <c r="F138" s="11" t="n"/>
      <c r="G138" s="11" t="n"/>
    </row>
    <row r="139">
      <c r="A139" s="11" t="n"/>
      <c r="B139" s="11" t="n"/>
      <c r="C139" s="12" t="n"/>
      <c r="D139" s="11" t="n"/>
      <c r="E139" s="11" t="n"/>
      <c r="F139" s="11" t="n"/>
      <c r="G139" s="11" t="n"/>
    </row>
    <row r="140">
      <c r="A140" s="11" t="n"/>
      <c r="B140" s="11" t="n"/>
      <c r="C140" s="12" t="n"/>
      <c r="D140" s="11" t="n"/>
      <c r="E140" s="11" t="n"/>
      <c r="F140" s="11" t="n"/>
      <c r="G140" s="11" t="n"/>
    </row>
    <row r="141">
      <c r="A141" s="11" t="n"/>
      <c r="B141" s="11" t="n"/>
      <c r="C141" s="12" t="n"/>
      <c r="D141" s="11" t="n"/>
      <c r="E141" s="11" t="n"/>
      <c r="F141" s="11" t="n"/>
      <c r="G141" s="11" t="n"/>
    </row>
    <row r="142">
      <c r="A142" s="11" t="n"/>
      <c r="B142" s="11" t="n"/>
      <c r="C142" s="12" t="n"/>
      <c r="D142" s="11" t="n"/>
      <c r="E142" s="11" t="n"/>
      <c r="F142" s="11" t="n"/>
      <c r="G142" s="11" t="n"/>
    </row>
    <row r="143">
      <c r="A143" s="11" t="n"/>
      <c r="B143" s="11" t="n"/>
      <c r="C143" s="12" t="n"/>
      <c r="D143" s="11" t="n"/>
      <c r="E143" s="11" t="n"/>
      <c r="F143" s="11" t="n"/>
      <c r="G143" s="11" t="n"/>
    </row>
    <row r="144">
      <c r="A144" s="11" t="n"/>
      <c r="B144" s="11" t="n"/>
      <c r="C144" s="12" t="n"/>
      <c r="D144" s="11" t="n"/>
      <c r="E144" s="11" t="n"/>
      <c r="F144" s="11" t="n"/>
      <c r="G144" s="11" t="n"/>
    </row>
    <row r="145">
      <c r="A145" s="11" t="n"/>
      <c r="B145" s="11" t="n"/>
      <c r="C145" s="12" t="n"/>
      <c r="D145" s="11" t="n"/>
      <c r="E145" s="11" t="n"/>
      <c r="F145" s="11" t="n"/>
      <c r="G145" s="11" t="n"/>
    </row>
    <row r="146">
      <c r="A146" s="11" t="n"/>
      <c r="B146" s="11" t="n"/>
      <c r="C146" s="12" t="n"/>
      <c r="D146" s="11" t="n"/>
      <c r="E146" s="11" t="n"/>
      <c r="F146" s="11" t="n"/>
      <c r="G146" s="11" t="n"/>
    </row>
    <row r="147">
      <c r="A147" s="11" t="n"/>
      <c r="B147" s="11" t="n"/>
      <c r="C147" s="12" t="n"/>
      <c r="D147" s="11" t="n"/>
      <c r="E147" s="11" t="n"/>
      <c r="F147" s="11" t="n"/>
      <c r="G147" s="11" t="n"/>
    </row>
    <row r="148">
      <c r="A148" s="11" t="n"/>
      <c r="B148" s="11" t="n"/>
      <c r="C148" s="12" t="n"/>
      <c r="D148" s="11" t="n"/>
      <c r="E148" s="11" t="n"/>
      <c r="F148" s="11" t="n"/>
      <c r="G148" s="11" t="n"/>
    </row>
    <row r="149">
      <c r="A149" s="11" t="n"/>
      <c r="B149" s="11" t="n"/>
      <c r="C149" s="12" t="n"/>
      <c r="D149" s="11" t="n"/>
      <c r="E149" s="11" t="n"/>
      <c r="F149" s="11" t="n"/>
      <c r="G149" s="11" t="n"/>
    </row>
    <row r="150">
      <c r="A150" s="11" t="n"/>
      <c r="B150" s="11" t="n"/>
      <c r="C150" s="12" t="n"/>
      <c r="D150" s="11" t="n"/>
      <c r="E150" s="11" t="n"/>
      <c r="F150" s="11" t="n"/>
      <c r="G150" s="11" t="n"/>
    </row>
    <row r="151">
      <c r="A151" s="11" t="n"/>
      <c r="B151" s="11" t="n"/>
      <c r="C151" s="12" t="n"/>
      <c r="D151" s="11" t="n"/>
      <c r="E151" s="11" t="n"/>
      <c r="F151" s="11" t="n"/>
      <c r="G151" s="11" t="n"/>
    </row>
    <row r="152">
      <c r="A152" s="11" t="n"/>
      <c r="B152" s="11" t="n"/>
      <c r="C152" s="12" t="n"/>
      <c r="D152" s="11" t="n"/>
      <c r="E152" s="11" t="n"/>
      <c r="F152" s="11" t="n"/>
      <c r="G152" s="11" t="n"/>
    </row>
    <row r="153">
      <c r="A153" s="11" t="n"/>
      <c r="B153" s="11" t="n"/>
      <c r="C153" s="12" t="n"/>
      <c r="D153" s="11" t="n"/>
      <c r="E153" s="11" t="n"/>
      <c r="F153" s="11" t="n"/>
      <c r="G153" s="11" t="n"/>
    </row>
    <row r="154">
      <c r="A154" s="11" t="n"/>
      <c r="B154" s="11" t="n"/>
      <c r="C154" s="12" t="n"/>
      <c r="D154" s="11" t="n"/>
      <c r="E154" s="11" t="n"/>
      <c r="F154" s="11" t="n"/>
      <c r="G154" s="11" t="n"/>
    </row>
    <row r="155">
      <c r="A155" s="11" t="n"/>
      <c r="B155" s="11" t="n"/>
      <c r="C155" s="12" t="n"/>
      <c r="D155" s="11" t="n"/>
      <c r="E155" s="11" t="n"/>
      <c r="F155" s="11" t="n"/>
      <c r="G155" s="11" t="n"/>
    </row>
    <row r="156">
      <c r="A156" s="11" t="n"/>
      <c r="B156" s="11" t="n"/>
      <c r="C156" s="12" t="n"/>
      <c r="D156" s="11" t="n"/>
      <c r="E156" s="11" t="n"/>
      <c r="F156" s="11" t="n"/>
      <c r="G156" s="11" t="n"/>
    </row>
    <row r="157">
      <c r="A157" s="11" t="n"/>
      <c r="B157" s="11" t="n"/>
      <c r="C157" s="12" t="n"/>
      <c r="D157" s="11" t="n"/>
      <c r="E157" s="11" t="n"/>
      <c r="F157" s="11" t="n"/>
      <c r="G157" s="11" t="n"/>
    </row>
    <row r="158">
      <c r="A158" s="11" t="n"/>
      <c r="B158" s="11" t="n"/>
      <c r="C158" s="12" t="n"/>
      <c r="D158" s="11" t="n"/>
      <c r="E158" s="11" t="n"/>
      <c r="F158" s="11" t="n"/>
      <c r="G158" s="11" t="n"/>
    </row>
    <row r="159">
      <c r="A159" s="11" t="n"/>
      <c r="B159" s="11" t="n"/>
      <c r="C159" s="12" t="n"/>
      <c r="D159" s="11" t="n"/>
      <c r="E159" s="11" t="n"/>
      <c r="F159" s="11" t="n"/>
      <c r="G159" s="11" t="n"/>
    </row>
    <row r="160">
      <c r="A160" s="11" t="n"/>
      <c r="B160" s="11" t="n"/>
      <c r="C160" s="12" t="n"/>
      <c r="D160" s="11" t="n"/>
      <c r="E160" s="11" t="n"/>
      <c r="F160" s="11" t="n"/>
      <c r="G160" s="11" t="n"/>
    </row>
    <row r="161">
      <c r="A161" s="11" t="n"/>
      <c r="B161" s="11" t="n"/>
      <c r="C161" s="12" t="n"/>
      <c r="D161" s="11" t="n"/>
      <c r="E161" s="11" t="n"/>
      <c r="F161" s="11" t="n"/>
      <c r="G161" s="11" t="n"/>
    </row>
    <row r="162">
      <c r="A162" s="11" t="n"/>
      <c r="B162" s="11" t="n"/>
      <c r="C162" s="12" t="n"/>
      <c r="D162" s="11" t="n"/>
      <c r="E162" s="11" t="n"/>
      <c r="F162" s="11" t="n"/>
      <c r="G162" s="11" t="n"/>
    </row>
    <row r="163">
      <c r="A163" s="11" t="n"/>
      <c r="B163" s="11" t="n"/>
      <c r="C163" s="12" t="n"/>
      <c r="D163" s="11" t="n"/>
      <c r="E163" s="11" t="n"/>
      <c r="F163" s="11" t="n"/>
      <c r="G163" s="11" t="n"/>
    </row>
    <row r="164">
      <c r="A164" s="11" t="n"/>
      <c r="B164" s="11" t="n"/>
      <c r="C164" s="12" t="n"/>
      <c r="D164" s="11" t="n"/>
      <c r="E164" s="11" t="n"/>
      <c r="F164" s="11" t="n"/>
      <c r="G164" s="11" t="n"/>
    </row>
    <row r="165">
      <c r="A165" s="11" t="n"/>
      <c r="B165" s="11" t="n"/>
      <c r="C165" s="12" t="n"/>
      <c r="D165" s="11" t="n"/>
      <c r="E165" s="11" t="n"/>
      <c r="F165" s="11" t="n"/>
      <c r="G165" s="11" t="n"/>
    </row>
    <row r="166">
      <c r="A166" s="11" t="n"/>
      <c r="B166" s="11" t="n"/>
      <c r="C166" s="12" t="n"/>
      <c r="D166" s="11" t="n"/>
      <c r="E166" s="11" t="n"/>
      <c r="F166" s="11" t="n"/>
      <c r="G166" s="11" t="n"/>
    </row>
    <row r="167">
      <c r="A167" s="11" t="n"/>
      <c r="B167" s="11" t="n"/>
      <c r="C167" s="12" t="n"/>
      <c r="D167" s="11" t="n"/>
      <c r="E167" s="11" t="n"/>
      <c r="F167" s="11" t="n"/>
      <c r="G167" s="11" t="n"/>
    </row>
    <row r="168">
      <c r="A168" s="11" t="n"/>
      <c r="B168" s="11" t="n"/>
      <c r="C168" s="12" t="n"/>
      <c r="D168" s="11" t="n"/>
      <c r="E168" s="11" t="n"/>
      <c r="F168" s="11" t="n"/>
      <c r="G168" s="11" t="n"/>
    </row>
    <row r="169">
      <c r="A169" s="11" t="n"/>
      <c r="B169" s="11" t="n"/>
      <c r="C169" s="12" t="n"/>
      <c r="D169" s="11" t="n"/>
      <c r="E169" s="11" t="n"/>
      <c r="F169" s="11" t="n"/>
      <c r="G169" s="11" t="n"/>
    </row>
    <row r="170">
      <c r="A170" s="11" t="n"/>
      <c r="B170" s="11" t="n"/>
      <c r="C170" s="12" t="n"/>
      <c r="D170" s="11" t="n"/>
      <c r="E170" s="11" t="n"/>
      <c r="F170" s="11" t="n"/>
      <c r="G170" s="11" t="n"/>
    </row>
    <row r="171">
      <c r="A171" s="11" t="n"/>
      <c r="B171" s="11" t="n"/>
      <c r="C171" s="12" t="n"/>
      <c r="D171" s="11" t="n"/>
      <c r="E171" s="11" t="n"/>
      <c r="F171" s="11" t="n"/>
      <c r="G171" s="11" t="n"/>
    </row>
    <row r="172">
      <c r="A172" s="11" t="n"/>
      <c r="B172" s="11" t="n"/>
      <c r="C172" s="12" t="n"/>
      <c r="D172" s="11" t="n"/>
      <c r="E172" s="11" t="n"/>
      <c r="F172" s="11" t="n"/>
      <c r="G172" s="11" t="n"/>
    </row>
    <row r="173">
      <c r="A173" s="11" t="n"/>
      <c r="B173" s="11" t="n"/>
      <c r="C173" s="12" t="n"/>
      <c r="D173" s="11" t="n"/>
      <c r="E173" s="11" t="n"/>
      <c r="F173" s="11" t="n"/>
      <c r="G173" s="11" t="n"/>
    </row>
    <row r="174">
      <c r="A174" s="11" t="n"/>
      <c r="B174" s="11" t="n"/>
      <c r="C174" s="12" t="n"/>
      <c r="D174" s="11" t="n"/>
      <c r="E174" s="11" t="n"/>
      <c r="F174" s="11" t="n"/>
      <c r="G174" s="11" t="n"/>
    </row>
    <row r="175">
      <c r="A175" s="11" t="n"/>
      <c r="B175" s="11" t="n"/>
      <c r="C175" s="12" t="n"/>
      <c r="D175" s="11" t="n"/>
      <c r="E175" s="11" t="n"/>
      <c r="F175" s="11" t="n"/>
      <c r="G175" s="11" t="n"/>
    </row>
    <row r="176">
      <c r="A176" s="11" t="n"/>
      <c r="B176" s="11" t="n"/>
      <c r="C176" s="12" t="n"/>
      <c r="D176" s="11" t="n"/>
      <c r="E176" s="11" t="n"/>
      <c r="F176" s="11" t="n"/>
      <c r="G176" s="11" t="n"/>
    </row>
    <row r="177">
      <c r="A177" s="11" t="n"/>
      <c r="B177" s="11" t="n"/>
      <c r="C177" s="12" t="n"/>
      <c r="D177" s="11" t="n"/>
      <c r="E177" s="11" t="n"/>
      <c r="F177" s="11" t="n"/>
      <c r="G177" s="11" t="n"/>
    </row>
    <row r="178">
      <c r="A178" s="11" t="n"/>
      <c r="B178" s="11" t="n"/>
      <c r="C178" s="12" t="n"/>
      <c r="D178" s="11" t="n"/>
      <c r="E178" s="11" t="n"/>
      <c r="F178" s="11" t="n"/>
      <c r="G178" s="11" t="n"/>
    </row>
    <row r="179">
      <c r="A179" s="11" t="n"/>
      <c r="B179" s="11" t="n"/>
      <c r="C179" s="12" t="n"/>
      <c r="D179" s="11" t="n"/>
      <c r="E179" s="11" t="n"/>
      <c r="F179" s="11" t="n"/>
      <c r="G179" s="11" t="n"/>
    </row>
    <row r="180">
      <c r="A180" s="11" t="n"/>
      <c r="B180" s="11" t="n"/>
      <c r="C180" s="12" t="n"/>
      <c r="D180" s="11" t="n"/>
      <c r="E180" s="11" t="n"/>
      <c r="F180" s="11" t="n"/>
      <c r="G180" s="11" t="n"/>
    </row>
    <row r="181">
      <c r="A181" s="11" t="n"/>
      <c r="B181" s="11" t="n"/>
      <c r="C181" s="12" t="n"/>
      <c r="D181" s="11" t="n"/>
      <c r="E181" s="11" t="n"/>
      <c r="F181" s="11" t="n"/>
      <c r="G181" s="11" t="n"/>
    </row>
    <row r="182">
      <c r="A182" s="11" t="n"/>
      <c r="B182" s="11" t="n"/>
      <c r="C182" s="12" t="n"/>
      <c r="D182" s="11" t="n"/>
      <c r="E182" s="11" t="n"/>
      <c r="F182" s="11" t="n"/>
      <c r="G182" s="11" t="n"/>
    </row>
    <row r="183">
      <c r="A183" s="11" t="n"/>
      <c r="B183" s="11" t="n"/>
      <c r="C183" s="12" t="n"/>
      <c r="D183" s="11" t="n"/>
      <c r="E183" s="11" t="n"/>
      <c r="F183" s="11" t="n"/>
      <c r="G183" s="11" t="n"/>
    </row>
    <row r="184">
      <c r="A184" s="11" t="n"/>
      <c r="B184" s="11" t="n"/>
      <c r="C184" s="12" t="n"/>
      <c r="D184" s="11" t="n"/>
      <c r="E184" s="11" t="n"/>
      <c r="F184" s="11" t="n"/>
      <c r="G184" s="11" t="n"/>
    </row>
    <row r="185">
      <c r="A185" s="11" t="n"/>
      <c r="B185" s="11" t="n"/>
      <c r="C185" s="12" t="n"/>
      <c r="D185" s="11" t="n"/>
      <c r="E185" s="11" t="n"/>
      <c r="F185" s="11" t="n"/>
      <c r="G185" s="11" t="n"/>
    </row>
    <row r="186">
      <c r="A186" s="11" t="n"/>
      <c r="B186" s="11" t="n"/>
      <c r="C186" s="12" t="n"/>
      <c r="D186" s="11" t="n"/>
      <c r="E186" s="11" t="n"/>
      <c r="F186" s="11" t="n"/>
      <c r="G186" s="11" t="n"/>
    </row>
    <row r="187">
      <c r="A187" s="11" t="n"/>
      <c r="B187" s="11" t="n"/>
      <c r="C187" s="12" t="n"/>
      <c r="D187" s="11" t="n"/>
      <c r="E187" s="11" t="n"/>
      <c r="F187" s="11" t="n"/>
      <c r="G187" s="11" t="n"/>
    </row>
    <row r="188">
      <c r="A188" s="11" t="n"/>
      <c r="B188" s="11" t="n"/>
      <c r="C188" s="12" t="n"/>
      <c r="D188" s="11" t="n"/>
      <c r="E188" s="11" t="n"/>
      <c r="F188" s="11" t="n"/>
      <c r="G188" s="11" t="n"/>
    </row>
    <row r="189">
      <c r="A189" s="11" t="n"/>
      <c r="B189" s="11" t="n"/>
      <c r="C189" s="12" t="n"/>
      <c r="D189" s="11" t="n"/>
      <c r="E189" s="11" t="n"/>
      <c r="F189" s="11" t="n"/>
      <c r="G189" s="11" t="n"/>
    </row>
    <row r="190">
      <c r="A190" s="11" t="n"/>
      <c r="B190" s="11" t="n"/>
      <c r="C190" s="12" t="n"/>
      <c r="D190" s="11" t="n"/>
      <c r="E190" s="11" t="n"/>
      <c r="F190" s="11" t="n"/>
      <c r="G190" s="11" t="n"/>
    </row>
    <row r="191">
      <c r="A191" s="11" t="n"/>
      <c r="B191" s="11" t="n"/>
      <c r="C191" s="12" t="n"/>
      <c r="D191" s="11" t="n"/>
      <c r="E191" s="11" t="n"/>
      <c r="F191" s="11" t="n"/>
      <c r="G191" s="11" t="n"/>
    </row>
    <row r="192">
      <c r="A192" s="11" t="n"/>
      <c r="B192" s="11" t="n"/>
      <c r="C192" s="12" t="n"/>
      <c r="D192" s="11" t="n"/>
      <c r="E192" s="11" t="n"/>
      <c r="F192" s="11" t="n"/>
      <c r="G192" s="11" t="n"/>
    </row>
    <row r="193">
      <c r="A193" s="11" t="n"/>
      <c r="B193" s="11" t="n"/>
      <c r="C193" s="12" t="n"/>
      <c r="D193" s="11" t="n"/>
      <c r="E193" s="11" t="n"/>
      <c r="F193" s="11" t="n"/>
      <c r="G193" s="11" t="n"/>
    </row>
    <row r="194">
      <c r="A194" s="11" t="n"/>
      <c r="B194" s="11" t="n"/>
      <c r="C194" s="12" t="n"/>
      <c r="D194" s="11" t="n"/>
      <c r="E194" s="11" t="n"/>
      <c r="F194" s="11" t="n"/>
      <c r="G194" s="11" t="n"/>
    </row>
    <row r="195">
      <c r="A195" s="11" t="n"/>
      <c r="B195" s="11" t="n"/>
      <c r="C195" s="12" t="n"/>
      <c r="D195" s="11" t="n"/>
      <c r="E195" s="11" t="n"/>
      <c r="F195" s="11" t="n"/>
      <c r="G195" s="11" t="n"/>
    </row>
    <row r="196">
      <c r="A196" s="11" t="n"/>
      <c r="B196" s="11" t="n"/>
      <c r="C196" s="12" t="n"/>
      <c r="D196" s="11" t="n"/>
      <c r="E196" s="11" t="n"/>
      <c r="F196" s="11" t="n"/>
      <c r="G196" s="11" t="n"/>
    </row>
    <row r="197">
      <c r="A197" s="11" t="n"/>
      <c r="B197" s="11" t="n"/>
      <c r="C197" s="12" t="n"/>
      <c r="D197" s="11" t="n"/>
      <c r="E197" s="11" t="n"/>
      <c r="F197" s="11" t="n"/>
      <c r="G197" s="11" t="n"/>
    </row>
    <row r="198">
      <c r="A198" s="11" t="n"/>
      <c r="B198" s="11" t="n"/>
      <c r="C198" s="12" t="n"/>
      <c r="D198" s="11" t="n"/>
      <c r="E198" s="11" t="n"/>
      <c r="F198" s="11" t="n"/>
      <c r="G198" s="11" t="n"/>
    </row>
    <row r="199">
      <c r="A199" s="11" t="n"/>
      <c r="B199" s="11" t="n"/>
      <c r="C199" s="12" t="n"/>
      <c r="D199" s="11" t="n"/>
      <c r="E199" s="11" t="n"/>
      <c r="F199" s="11" t="n"/>
      <c r="G199" s="11" t="n"/>
    </row>
    <row r="200">
      <c r="A200" s="11" t="n"/>
      <c r="B200" s="11" t="n"/>
      <c r="C200" s="12" t="n"/>
      <c r="D200" s="11" t="n"/>
      <c r="E200" s="11" t="n"/>
      <c r="F200" s="11" t="n"/>
      <c r="G200" s="11" t="n"/>
    </row>
    <row r="201">
      <c r="A201" s="11" t="n"/>
      <c r="B201" s="11" t="n"/>
      <c r="C201" s="12" t="n"/>
      <c r="D201" s="11" t="n"/>
      <c r="E201" s="11" t="n"/>
      <c r="F201" s="11" t="n"/>
      <c r="G201" s="11" t="n"/>
    </row>
    <row r="202">
      <c r="A202" s="11" t="n"/>
      <c r="B202" s="11" t="n"/>
      <c r="C202" s="12" t="n"/>
      <c r="D202" s="11" t="n"/>
      <c r="E202" s="11" t="n"/>
      <c r="F202" s="11" t="n"/>
      <c r="G202" s="11" t="n"/>
    </row>
    <row r="203">
      <c r="A203" s="11" t="n"/>
      <c r="B203" s="11" t="n"/>
      <c r="C203" s="12" t="n"/>
      <c r="D203" s="11" t="n"/>
      <c r="E203" s="11" t="n"/>
      <c r="F203" s="11" t="n"/>
      <c r="G203" s="11" t="n"/>
    </row>
  </sheetData>
  <dataValidations count="2">
    <dataValidation sqref="E4:E203" showDropDown="0" showInputMessage="0" showErrorMessage="0" allowBlank="1" type="list">
      <formula1>"Established,Inferred,Asserted,Open"</formula1>
    </dataValidation>
    <dataValidation sqref="G4:G203" showDropDown="0" showInputMessage="0" showErrorMessage="0" allowBlank="1" type="list">
      <formula1>"Yes,No,In progress"</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40" customWidth="1" min="1" max="1"/>
    <col width="9" customWidth="1" min="2" max="2"/>
    <col width="13" customWidth="1" min="3" max="3"/>
    <col width="9" customWidth="1" min="4" max="4"/>
    <col width="9" customWidth="1" min="5" max="5"/>
    <col width="9" customWidth="1" min="6" max="6"/>
    <col width="9" customWidth="1" min="7" max="7"/>
  </cols>
  <sheetData>
    <row r="1">
      <c r="A1" s="14" t="inlineStr">
        <is>
          <t>Panels 1 and 2 of the weekly outlook pack</t>
        </is>
      </c>
    </row>
    <row r="2">
      <c r="A2" s="9">
        <f>IF(ISNUMBER('Set the table'!$C$10),"Panel 1 — approach: baseline to plan, FTE","Enter the departure baseline on Set the table to draw panel 1.")</f>
        <v/>
      </c>
    </row>
    <row r="3">
      <c r="A3" s="17" t="inlineStr">
        <is>
          <t>Step</t>
        </is>
      </c>
      <c r="B3" s="17" t="inlineStr">
        <is>
          <t>FTE</t>
        </is>
      </c>
      <c r="C3" s="17" t="inlineStr">
        <is>
          <t>Running total</t>
        </is>
      </c>
      <c r="D3" s="17" t="inlineStr">
        <is>
          <t>(base)</t>
        </is>
      </c>
      <c r="E3" s="17" t="inlineStr">
        <is>
          <t>Level</t>
        </is>
      </c>
      <c r="F3" s="17" t="inlineStr">
        <is>
          <t>Up</t>
        </is>
      </c>
      <c r="G3" s="17" t="inlineStr">
        <is>
          <t>Down</t>
        </is>
      </c>
    </row>
    <row r="4">
      <c r="A4" s="13" t="inlineStr">
        <is>
          <t>baseline</t>
        </is>
      </c>
      <c r="B4" s="13">
        <f>IF(ISNUMBER('Set the table'!$C$10),'Set the table'!$C$10,0)</f>
        <v/>
      </c>
      <c r="C4" s="13">
        <f>B4</f>
        <v/>
      </c>
      <c r="D4" s="21" t="n">
        <v>0</v>
      </c>
      <c r="E4" s="21">
        <f>B4</f>
        <v/>
      </c>
      <c r="F4" s="21" t="n">
        <v>0</v>
      </c>
      <c r="G4" s="21" t="n">
        <v>0</v>
      </c>
    </row>
    <row r="5">
      <c r="A5" s="13" t="inlineStr">
        <is>
          <t>season</t>
        </is>
      </c>
      <c r="B5" s="13">
        <f>SUMIFS(Grid!$I$4:$I$63,Grid!$V$4:$V$63,A5)</f>
        <v/>
      </c>
      <c r="C5" s="13">
        <f>C4+B5</f>
        <v/>
      </c>
      <c r="D5" s="21">
        <f>MIN(C4,C5)</f>
        <v/>
      </c>
      <c r="E5" s="21" t="n">
        <v>0</v>
      </c>
      <c r="F5" s="21">
        <f>MAX(B5,0)</f>
        <v/>
      </c>
      <c r="G5" s="21">
        <f>MAX(-B5,0)</f>
        <v/>
      </c>
    </row>
    <row r="6">
      <c r="A6" s="13" t="inlineStr">
        <is>
          <t>mix</t>
        </is>
      </c>
      <c r="B6" s="13">
        <f>SUMIFS(Grid!$I$4:$I$63,Grid!$V$4:$V$63,A6)</f>
        <v/>
      </c>
      <c r="C6" s="13">
        <f>C5+B6</f>
        <v/>
      </c>
      <c r="D6" s="21">
        <f>MIN(C5,C6)</f>
        <v/>
      </c>
      <c r="E6" s="21" t="n">
        <v>0</v>
      </c>
      <c r="F6" s="21">
        <f>MAX(B6,0)</f>
        <v/>
      </c>
      <c r="G6" s="21">
        <f>MAX(-B6,0)</f>
        <v/>
      </c>
    </row>
    <row r="7">
      <c r="A7" s="13" t="inlineStr">
        <is>
          <t>CPT</t>
        </is>
      </c>
      <c r="B7" s="13">
        <f>SUMIFS(Grid!$I$4:$I$63,Grid!$V$4:$V$63,A7)</f>
        <v/>
      </c>
      <c r="C7" s="13">
        <f>C6+B7</f>
        <v/>
      </c>
      <c r="D7" s="21">
        <f>MIN(C6,C7)</f>
        <v/>
      </c>
      <c r="E7" s="21" t="n">
        <v>0</v>
      </c>
      <c r="F7" s="21">
        <f>MAX(B7,0)</f>
        <v/>
      </c>
      <c r="G7" s="21">
        <f>MAX(-B7,0)</f>
        <v/>
      </c>
    </row>
    <row r="8">
      <c r="A8" s="13" t="inlineStr">
        <is>
          <t>AHT</t>
        </is>
      </c>
      <c r="B8" s="13">
        <f>SUMIFS(Grid!$I$4:$I$63,Grid!$V$4:$V$63,A8)</f>
        <v/>
      </c>
      <c r="C8" s="13">
        <f>C7+B8</f>
        <v/>
      </c>
      <c r="D8" s="21">
        <f>MIN(C7,C8)</f>
        <v/>
      </c>
      <c r="E8" s="21" t="n">
        <v>0</v>
      </c>
      <c r="F8" s="21">
        <f>MAX(B8,0)</f>
        <v/>
      </c>
      <c r="G8" s="21">
        <f>MAX(-B8,0)</f>
        <v/>
      </c>
    </row>
    <row r="9">
      <c r="A9" s="13" t="inlineStr">
        <is>
          <t>shrink</t>
        </is>
      </c>
      <c r="B9" s="13">
        <f>SUMIFS(Grid!$I$4:$I$63,Grid!$V$4:$V$63,A9)</f>
        <v/>
      </c>
      <c r="C9" s="13">
        <f>C8+B9</f>
        <v/>
      </c>
      <c r="D9" s="21">
        <f>MIN(C8,C9)</f>
        <v/>
      </c>
      <c r="E9" s="21" t="n">
        <v>0</v>
      </c>
      <c r="F9" s="21">
        <f>MAX(B9,0)</f>
        <v/>
      </c>
      <c r="G9" s="21">
        <f>MAX(-B9,0)</f>
        <v/>
      </c>
    </row>
    <row r="10">
      <c r="A10" s="13" t="inlineStr">
        <is>
          <t>timing</t>
        </is>
      </c>
      <c r="B10" s="13">
        <f>SUMIFS(Grid!$I$4:$I$63,Grid!$V$4:$V$63,A10)</f>
        <v/>
      </c>
      <c r="C10" s="13">
        <f>C9+B10</f>
        <v/>
      </c>
      <c r="D10" s="21">
        <f>MIN(C9,C10)</f>
        <v/>
      </c>
      <c r="E10" s="21" t="n">
        <v>0</v>
      </c>
      <c r="F10" s="21">
        <f>MAX(B10,0)</f>
        <v/>
      </c>
      <c r="G10" s="21">
        <f>MAX(-B10,0)</f>
        <v/>
      </c>
    </row>
    <row r="11">
      <c r="A11" s="13" t="inlineStr">
        <is>
          <t>SL</t>
        </is>
      </c>
      <c r="B11" s="13">
        <f>SUMIFS(Grid!$I$4:$I$63,Grid!$V$4:$V$63,A11)</f>
        <v/>
      </c>
      <c r="C11" s="13">
        <f>C10+B11</f>
        <v/>
      </c>
      <c r="D11" s="21">
        <f>MIN(C10,C11)</f>
        <v/>
      </c>
      <c r="E11" s="21" t="n">
        <v>0</v>
      </c>
      <c r="F11" s="21">
        <f>MAX(B11,0)</f>
        <v/>
      </c>
      <c r="G11" s="21">
        <f>MAX(-B11,0)</f>
        <v/>
      </c>
    </row>
    <row r="12">
      <c r="A12" s="13" t="inlineStr">
        <is>
          <t>attrition</t>
        </is>
      </c>
      <c r="B12" s="13">
        <f>SUMIFS(Grid!$I$4:$I$63,Grid!$V$4:$V$63,A12)</f>
        <v/>
      </c>
      <c r="C12" s="13">
        <f>C11+B12</f>
        <v/>
      </c>
      <c r="D12" s="21">
        <f>MIN(C11,C12)</f>
        <v/>
      </c>
      <c r="E12" s="21" t="n">
        <v>0</v>
      </c>
      <c r="F12" s="21">
        <f>MAX(B12,0)</f>
        <v/>
      </c>
      <c r="G12" s="21">
        <f>MAX(-B12,0)</f>
        <v/>
      </c>
    </row>
    <row r="13">
      <c r="A13" s="13" t="inlineStr">
        <is>
          <t>other</t>
        </is>
      </c>
      <c r="B13" s="13">
        <f>SUMIFS(Grid!$I$4:$I$63,Grid!$V$4:$V$63,A13)</f>
        <v/>
      </c>
      <c r="C13" s="13">
        <f>C12+B13</f>
        <v/>
      </c>
      <c r="D13" s="21">
        <f>MIN(C12,C13)</f>
        <v/>
      </c>
      <c r="E13" s="21" t="n">
        <v>0</v>
      </c>
      <c r="F13" s="21">
        <f>MAX(B13,0)</f>
        <v/>
      </c>
      <c r="G13" s="21">
        <f>MAX(-B13,0)</f>
        <v/>
      </c>
    </row>
    <row r="14">
      <c r="A14" s="13" t="inlineStr">
        <is>
          <t>plan</t>
        </is>
      </c>
      <c r="B14" s="13">
        <f>C13</f>
        <v/>
      </c>
      <c r="C14" s="13">
        <f>B14</f>
        <v/>
      </c>
      <c r="D14" s="21" t="n">
        <v>0</v>
      </c>
      <c r="E14" s="21">
        <f>B14</f>
        <v/>
      </c>
      <c r="F14" s="21" t="n">
        <v>0</v>
      </c>
      <c r="G14" s="21" t="n">
        <v>0</v>
      </c>
    </row>
    <row r="16">
      <c r="A16" s="9" t="inlineStr">
        <is>
          <t>Panel 2 — assumptions: sensitivity, FTE (top five ranked open rows)</t>
        </is>
      </c>
    </row>
    <row r="17">
      <c r="A17" s="17" t="inlineStr">
        <is>
          <t>Assumption</t>
        </is>
      </c>
      <c r="B17" s="17" t="inlineStr">
        <is>
          <t>Low</t>
        </is>
      </c>
      <c r="C17" s="17" t="inlineStr">
        <is>
          <t>High</t>
        </is>
      </c>
    </row>
    <row r="18">
      <c r="A18" s="13">
        <f>IF(Register!$I$4="","",Register!$A$4&amp;" "&amp;Register!$C$4)</f>
        <v/>
      </c>
      <c r="B18" s="13">
        <f>IF($A18="",0,MIN(Register!$F$4,0))</f>
        <v/>
      </c>
      <c r="C18" s="13">
        <f>IF($A18="",0,MAX(Register!$G$4,0))</f>
        <v/>
      </c>
    </row>
    <row r="19">
      <c r="A19" s="13">
        <f>IF(Register!$I$5="","",Register!$A$5&amp;" "&amp;Register!$C$5)</f>
        <v/>
      </c>
      <c r="B19" s="13">
        <f>IF($A19="",0,MIN(Register!$F$5,0))</f>
        <v/>
      </c>
      <c r="C19" s="13">
        <f>IF($A19="",0,MAX(Register!$G$5,0))</f>
        <v/>
      </c>
    </row>
    <row r="20">
      <c r="A20" s="13">
        <f>IF(Register!$I$6="","",Register!$A$6&amp;" "&amp;Register!$C$6)</f>
        <v/>
      </c>
      <c r="B20" s="13">
        <f>IF($A20="",0,MIN(Register!$F$6,0))</f>
        <v/>
      </c>
      <c r="C20" s="13">
        <f>IF($A20="",0,MAX(Register!$G$6,0))</f>
        <v/>
      </c>
    </row>
    <row r="21">
      <c r="A21" s="13">
        <f>IF(Register!$I$7="","",Register!$A$7&amp;" "&amp;Register!$C$7)</f>
        <v/>
      </c>
      <c r="B21" s="13">
        <f>IF($A21="",0,MIN(Register!$F$7,0))</f>
        <v/>
      </c>
      <c r="C21" s="13">
        <f>IF($A21="",0,MAX(Register!$G$7,0))</f>
        <v/>
      </c>
    </row>
    <row r="22">
      <c r="A22" s="13">
        <f>IF(Register!$I$8="","",Register!$A$8&amp;" "&amp;Register!$C$8)</f>
        <v/>
      </c>
      <c r="B22" s="13">
        <f>IF($A22="",0,MIN(Register!$F$8,0))</f>
        <v/>
      </c>
      <c r="C22" s="13">
        <f>IF($A22="",0,MAX(Register!$G$8,0))</f>
        <v/>
      </c>
    </row>
    <row r="25">
      <c r="A25" s="9" t="inlineStr">
        <is>
          <t>The grid in numbers</t>
        </is>
      </c>
    </row>
    <row r="26">
      <c r="A26" t="inlineStr">
        <is>
          <t>Characteristics</t>
        </is>
      </c>
      <c r="B26">
        <f>COUNTA(Grid!$C$4:$C$63)</f>
        <v/>
      </c>
    </row>
    <row r="27">
      <c r="A27" t="inlineStr">
        <is>
          <t>Same</t>
        </is>
      </c>
      <c r="B27">
        <f>COUNTIF(Grid!$F$4:$F$63,"Same")</f>
        <v/>
      </c>
    </row>
    <row r="28">
      <c r="A28" t="inlineStr">
        <is>
          <t>Acceptable</t>
        </is>
      </c>
      <c r="B28">
        <f>COUNTIF(Grid!$F$4:$F$63,"Acceptable")</f>
        <v/>
      </c>
    </row>
    <row r="29">
      <c r="A29" t="inlineStr">
        <is>
          <t>Watch</t>
        </is>
      </c>
      <c r="B29">
        <f>COUNTIF(Grid!$F$4:$F$63,"Watch")</f>
        <v/>
      </c>
    </row>
    <row r="30">
      <c r="A30" t="inlineStr">
        <is>
          <t>Problem</t>
        </is>
      </c>
      <c r="B30">
        <f>COUNTIF(Grid!$F$4:$F$63,"Problem")</f>
        <v/>
      </c>
    </row>
    <row r="31">
      <c r="A31" t="inlineStr">
        <is>
          <t>Unknown</t>
        </is>
      </c>
      <c r="B31">
        <f>COUNTIF(Grid!$F$4:$F$63,"Unknown")</f>
        <v/>
      </c>
    </row>
    <row r="32">
      <c r="A32" t="inlineStr">
        <is>
          <t>Not called yet</t>
        </is>
      </c>
      <c r="B32">
        <f>COUNTIFS(Grid!$C$4:$C$63,"&lt;&gt;",Grid!$F$4:$F$63,"")</f>
        <v/>
      </c>
    </row>
    <row r="33">
      <c r="A33" t="inlineStr">
        <is>
          <t>Open rows on the register</t>
        </is>
      </c>
      <c r="B33">
        <f>COUNTIF(Grid!$S$4:$S$63,"Yes")</f>
        <v/>
      </c>
    </row>
    <row r="34">
      <c r="A34" t="inlineStr">
        <is>
          <t>Mandatory rows</t>
        </is>
      </c>
      <c r="B34">
        <f>COUNTIF(Grid!$Q$4:$Q$63,"Yes")</f>
        <v/>
      </c>
    </row>
    <row r="35">
      <c r="A35" t="inlineStr">
        <is>
          <t>Mandatory rows still empty</t>
        </is>
      </c>
      <c r="B35">
        <f>COUNTIF(Grid!$R$4:$R$63,"Gap")</f>
        <v/>
      </c>
    </row>
    <row r="36">
      <c r="A36" t="inlineStr">
        <is>
          <t>Plan, FTE</t>
        </is>
      </c>
      <c r="B36">
        <f>B14</f>
        <v/>
      </c>
    </row>
  </sheetData>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G46"/>
  <sheetViews>
    <sheetView workbookViewId="0">
      <selection activeCell="A1" sqref="A1"/>
    </sheetView>
  </sheetViews>
  <sheetFormatPr baseColWidth="8" defaultRowHeight="15"/>
  <cols>
    <col width="6" customWidth="1" min="1" max="1"/>
    <col width="40" customWidth="1" min="2" max="2"/>
    <col width="24" customWidth="1" min="3" max="3"/>
    <col width="24" customWidth="1" min="4" max="4"/>
    <col width="12" customWidth="1" min="5" max="5"/>
    <col width="18" customWidth="1" min="6" max="6"/>
    <col width="12" customWidth="1" min="7" max="7"/>
  </cols>
  <sheetData>
    <row r="1">
      <c r="A1" s="22">
        <f>IF('Set the table'!$C$3="","‹migration›",'Set the table'!$C$3)</f>
        <v/>
      </c>
    </row>
    <row r="2">
      <c r="A2" s="6">
        <f>"Archetype "&amp;IF(TRIM(IF('Set the table'!$C$4="Yes","A ","")&amp;IF('Set the table'!$C$5="Yes","B ","")&amp;IF('Set the table'!$C$6="Yes","C ","")&amp;IF('Set the table'!$C$7="Yes","D ",""))="","not declared",TRIM(IF('Set the table'!$C$4="Yes","A ","")&amp;IF('Set the table'!$C$5="Yes","B ","")&amp;IF('Set the table'!$C$6="Yes","C ","")&amp;IF('Set the table'!$C$7="Yes","D ","")))&amp;"  ·  "&amp;'Set the table'!$C$8&amp;"  ·  "&amp;'Set the table'!$C$9</f>
        <v/>
      </c>
    </row>
    <row r="4">
      <c r="A4" s="9" t="inlineStr">
        <is>
          <t>How the number was built</t>
        </is>
      </c>
    </row>
    <row r="5">
      <c r="A5">
        <f>"Departure baseline: "&amp;IF(ISNUMBER('Set the table'!$C$10),'Set the table'!$C$10&amp;" FTE","not yet set")&amp;IF('Set the table'!$C$11="",""," — "&amp;'Set the table'!$C$11)</f>
        <v/>
      </c>
    </row>
    <row r="6">
      <c r="A6">
        <f>IF('Set the table'!$C$13="","","• Contacts per transaction: rate, denominator, source: "&amp;'Set the table'!$C$13)</f>
        <v/>
      </c>
    </row>
    <row r="7">
      <c r="A7">
        <f>IF('Set the table'!$C$14="","","• Broken to country level?: "&amp;'Set the table'!$C$14)</f>
        <v/>
      </c>
    </row>
    <row r="8">
      <c r="A8">
        <f>IF('Set the table'!$C$15="","","• Departure data: what we hold, and how clean: "&amp;'Set the table'!$C$15)</f>
        <v/>
      </c>
    </row>
    <row r="9">
      <c r="A9">
        <f>IF('Set the table'!$C$16="","","• Channel split today → expected: "&amp;'Set the table'!$C$16)</f>
        <v/>
      </c>
    </row>
    <row r="10">
      <c r="A10">
        <f>IF('Set the table'!$C$17="","","• Seasonality: does the client's own shape hold?: "&amp;'Set the table'!$C$17)</f>
        <v/>
      </c>
    </row>
    <row r="11">
      <c r="A11">
        <f>IF('Set the table'!$C$18="","","• What we deliberately did not model, and why: "&amp;'Set the table'!$C$18)</f>
        <v/>
      </c>
    </row>
    <row r="13">
      <c r="A13" s="9" t="inlineStr">
        <is>
          <t>The differences that lead us to think we are okay, or not</t>
        </is>
      </c>
    </row>
    <row r="14">
      <c r="A14" s="10" t="inlineStr">
        <is>
          <t>#</t>
        </is>
      </c>
      <c r="B14" s="10" t="inlineStr">
        <is>
          <t>Characteristic</t>
        </is>
      </c>
      <c r="C14" s="10" t="inlineStr">
        <is>
          <t>Departure</t>
        </is>
      </c>
      <c r="D14" s="10" t="inlineStr">
        <is>
          <t>Arrival</t>
        </is>
      </c>
      <c r="E14" s="10" t="inlineStr">
        <is>
          <t>Call</t>
        </is>
      </c>
      <c r="F14" s="10" t="inlineStr">
        <is>
          <t>FTE (range)</t>
        </is>
      </c>
      <c r="G14" s="10" t="inlineStr">
        <is>
          <t>Owner</t>
        </is>
      </c>
    </row>
    <row r="15">
      <c r="A15" s="11">
        <f>IFERROR(SMALL(Grid!$X$4:$X$63,1),"")</f>
        <v/>
      </c>
      <c r="B15" s="12">
        <f>IF($A15="","",IF(INDEX(Grid!$C$4:$C$63,$A15)="","",INDEX(Grid!$C$4:$C$63,$A15)))</f>
        <v/>
      </c>
      <c r="C15" s="12">
        <f>IF($A15="","",IF(INDEX(Grid!$D$4:$D$63,$A15)="","",INDEX(Grid!$D$4:$D$63,$A15)))</f>
        <v/>
      </c>
      <c r="D15" s="12">
        <f>IF($A15="","",IF(INDEX(Grid!$E$4:$E$63,$A15)="","",INDEX(Grid!$E$4:$E$63,$A15)))</f>
        <v/>
      </c>
      <c r="E15" s="11">
        <f>IF($A15="","",IF(INDEX(Grid!$F$4:$F$63,$A15)="","",INDEX(Grid!$F$4:$F$63,$A15)))</f>
        <v/>
      </c>
      <c r="F15" s="11">
        <f>IF($A15="","",IF(ISNUMBER(INDEX(Grid!$I$4:$I$63,$A15)),IF(INDEX(Grid!$I$4:$I$63,$A15)&gt;0,"+","")&amp;ROUND(INDEX(Grid!$I$4:$I$63,$A15),1),"—")&amp;IF(AND(ISNUMBER(INDEX(Grid!$J$4:$J$63,$A15)),ISNUMBER(INDEX(Grid!$K$4:$K$63,$A15)))," ("&amp;IF(INDEX(Grid!$J$4:$J$63,$A15)&gt;0,"+","")&amp;ROUND(INDEX(Grid!$J$4:$J$63,$A15),1)&amp;" / "&amp;IF(INDEX(Grid!$K$4:$K$63,$A15)&gt;0,"+","")&amp;ROUND(INDEX(Grid!$K$4:$K$63,$A15),1)&amp;")",""))</f>
        <v/>
      </c>
      <c r="G15" s="11">
        <f>IF($A15="","",IF(INDEX(Grid!$M$4:$M$63,$A15)="","",INDEX(Grid!$M$4:$M$63,$A15)))</f>
        <v/>
      </c>
    </row>
    <row r="16">
      <c r="A16" s="11">
        <f>IFERROR(SMALL(Grid!$X$4:$X$63,2),"")</f>
        <v/>
      </c>
      <c r="B16" s="12">
        <f>IF($A16="","",IF(INDEX(Grid!$C$4:$C$63,$A16)="","",INDEX(Grid!$C$4:$C$63,$A16)))</f>
        <v/>
      </c>
      <c r="C16" s="12">
        <f>IF($A16="","",IF(INDEX(Grid!$D$4:$D$63,$A16)="","",INDEX(Grid!$D$4:$D$63,$A16)))</f>
        <v/>
      </c>
      <c r="D16" s="12">
        <f>IF($A16="","",IF(INDEX(Grid!$E$4:$E$63,$A16)="","",INDEX(Grid!$E$4:$E$63,$A16)))</f>
        <v/>
      </c>
      <c r="E16" s="11">
        <f>IF($A16="","",IF(INDEX(Grid!$F$4:$F$63,$A16)="","",INDEX(Grid!$F$4:$F$63,$A16)))</f>
        <v/>
      </c>
      <c r="F16" s="11">
        <f>IF($A16="","",IF(ISNUMBER(INDEX(Grid!$I$4:$I$63,$A16)),IF(INDEX(Grid!$I$4:$I$63,$A16)&gt;0,"+","")&amp;ROUND(INDEX(Grid!$I$4:$I$63,$A16),1),"—")&amp;IF(AND(ISNUMBER(INDEX(Grid!$J$4:$J$63,$A16)),ISNUMBER(INDEX(Grid!$K$4:$K$63,$A16)))," ("&amp;IF(INDEX(Grid!$J$4:$J$63,$A16)&gt;0,"+","")&amp;ROUND(INDEX(Grid!$J$4:$J$63,$A16),1)&amp;" / "&amp;IF(INDEX(Grid!$K$4:$K$63,$A16)&gt;0,"+","")&amp;ROUND(INDEX(Grid!$K$4:$K$63,$A16),1)&amp;")",""))</f>
        <v/>
      </c>
      <c r="G16" s="11">
        <f>IF($A16="","",IF(INDEX(Grid!$M$4:$M$63,$A16)="","",INDEX(Grid!$M$4:$M$63,$A16)))</f>
        <v/>
      </c>
    </row>
    <row r="17">
      <c r="A17" s="11">
        <f>IFERROR(SMALL(Grid!$X$4:$X$63,3),"")</f>
        <v/>
      </c>
      <c r="B17" s="12">
        <f>IF($A17="","",IF(INDEX(Grid!$C$4:$C$63,$A17)="","",INDEX(Grid!$C$4:$C$63,$A17)))</f>
        <v/>
      </c>
      <c r="C17" s="12">
        <f>IF($A17="","",IF(INDEX(Grid!$D$4:$D$63,$A17)="","",INDEX(Grid!$D$4:$D$63,$A17)))</f>
        <v/>
      </c>
      <c r="D17" s="12">
        <f>IF($A17="","",IF(INDEX(Grid!$E$4:$E$63,$A17)="","",INDEX(Grid!$E$4:$E$63,$A17)))</f>
        <v/>
      </c>
      <c r="E17" s="11">
        <f>IF($A17="","",IF(INDEX(Grid!$F$4:$F$63,$A17)="","",INDEX(Grid!$F$4:$F$63,$A17)))</f>
        <v/>
      </c>
      <c r="F17" s="11">
        <f>IF($A17="","",IF(ISNUMBER(INDEX(Grid!$I$4:$I$63,$A17)),IF(INDEX(Grid!$I$4:$I$63,$A17)&gt;0,"+","")&amp;ROUND(INDEX(Grid!$I$4:$I$63,$A17),1),"—")&amp;IF(AND(ISNUMBER(INDEX(Grid!$J$4:$J$63,$A17)),ISNUMBER(INDEX(Grid!$K$4:$K$63,$A17)))," ("&amp;IF(INDEX(Grid!$J$4:$J$63,$A17)&gt;0,"+","")&amp;ROUND(INDEX(Grid!$J$4:$J$63,$A17),1)&amp;" / "&amp;IF(INDEX(Grid!$K$4:$K$63,$A17)&gt;0,"+","")&amp;ROUND(INDEX(Grid!$K$4:$K$63,$A17),1)&amp;")",""))</f>
        <v/>
      </c>
      <c r="G17" s="11">
        <f>IF($A17="","",IF(INDEX(Grid!$M$4:$M$63,$A17)="","",INDEX(Grid!$M$4:$M$63,$A17)))</f>
        <v/>
      </c>
    </row>
    <row r="18">
      <c r="A18" s="11">
        <f>IFERROR(SMALL(Grid!$X$4:$X$63,4),"")</f>
        <v/>
      </c>
      <c r="B18" s="12">
        <f>IF($A18="","",IF(INDEX(Grid!$C$4:$C$63,$A18)="","",INDEX(Grid!$C$4:$C$63,$A18)))</f>
        <v/>
      </c>
      <c r="C18" s="12">
        <f>IF($A18="","",IF(INDEX(Grid!$D$4:$D$63,$A18)="","",INDEX(Grid!$D$4:$D$63,$A18)))</f>
        <v/>
      </c>
      <c r="D18" s="12">
        <f>IF($A18="","",IF(INDEX(Grid!$E$4:$E$63,$A18)="","",INDEX(Grid!$E$4:$E$63,$A18)))</f>
        <v/>
      </c>
      <c r="E18" s="11">
        <f>IF($A18="","",IF(INDEX(Grid!$F$4:$F$63,$A18)="","",INDEX(Grid!$F$4:$F$63,$A18)))</f>
        <v/>
      </c>
      <c r="F18" s="11">
        <f>IF($A18="","",IF(ISNUMBER(INDEX(Grid!$I$4:$I$63,$A18)),IF(INDEX(Grid!$I$4:$I$63,$A18)&gt;0,"+","")&amp;ROUND(INDEX(Grid!$I$4:$I$63,$A18),1),"—")&amp;IF(AND(ISNUMBER(INDEX(Grid!$J$4:$J$63,$A18)),ISNUMBER(INDEX(Grid!$K$4:$K$63,$A18)))," ("&amp;IF(INDEX(Grid!$J$4:$J$63,$A18)&gt;0,"+","")&amp;ROUND(INDEX(Grid!$J$4:$J$63,$A18),1)&amp;" / "&amp;IF(INDEX(Grid!$K$4:$K$63,$A18)&gt;0,"+","")&amp;ROUND(INDEX(Grid!$K$4:$K$63,$A18),1)&amp;")",""))</f>
        <v/>
      </c>
      <c r="G18" s="11">
        <f>IF($A18="","",IF(INDEX(Grid!$M$4:$M$63,$A18)="","",INDEX(Grid!$M$4:$M$63,$A18)))</f>
        <v/>
      </c>
    </row>
    <row r="19">
      <c r="A19" s="11">
        <f>IFERROR(SMALL(Grid!$X$4:$X$63,5),"")</f>
        <v/>
      </c>
      <c r="B19" s="12">
        <f>IF($A19="","",IF(INDEX(Grid!$C$4:$C$63,$A19)="","",INDEX(Grid!$C$4:$C$63,$A19)))</f>
        <v/>
      </c>
      <c r="C19" s="12">
        <f>IF($A19="","",IF(INDEX(Grid!$D$4:$D$63,$A19)="","",INDEX(Grid!$D$4:$D$63,$A19)))</f>
        <v/>
      </c>
      <c r="D19" s="12">
        <f>IF($A19="","",IF(INDEX(Grid!$E$4:$E$63,$A19)="","",INDEX(Grid!$E$4:$E$63,$A19)))</f>
        <v/>
      </c>
      <c r="E19" s="11">
        <f>IF($A19="","",IF(INDEX(Grid!$F$4:$F$63,$A19)="","",INDEX(Grid!$F$4:$F$63,$A19)))</f>
        <v/>
      </c>
      <c r="F19" s="11">
        <f>IF($A19="","",IF(ISNUMBER(INDEX(Grid!$I$4:$I$63,$A19)),IF(INDEX(Grid!$I$4:$I$63,$A19)&gt;0,"+","")&amp;ROUND(INDEX(Grid!$I$4:$I$63,$A19),1),"—")&amp;IF(AND(ISNUMBER(INDEX(Grid!$J$4:$J$63,$A19)),ISNUMBER(INDEX(Grid!$K$4:$K$63,$A19)))," ("&amp;IF(INDEX(Grid!$J$4:$J$63,$A19)&gt;0,"+","")&amp;ROUND(INDEX(Grid!$J$4:$J$63,$A19),1)&amp;" / "&amp;IF(INDEX(Grid!$K$4:$K$63,$A19)&gt;0,"+","")&amp;ROUND(INDEX(Grid!$K$4:$K$63,$A19),1)&amp;")",""))</f>
        <v/>
      </c>
      <c r="G19" s="11">
        <f>IF($A19="","",IF(INDEX(Grid!$M$4:$M$63,$A19)="","",INDEX(Grid!$M$4:$M$63,$A19)))</f>
        <v/>
      </c>
    </row>
    <row r="20">
      <c r="A20" s="11">
        <f>IFERROR(SMALL(Grid!$X$4:$X$63,6),"")</f>
        <v/>
      </c>
      <c r="B20" s="12">
        <f>IF($A20="","",IF(INDEX(Grid!$C$4:$C$63,$A20)="","",INDEX(Grid!$C$4:$C$63,$A20)))</f>
        <v/>
      </c>
      <c r="C20" s="12">
        <f>IF($A20="","",IF(INDEX(Grid!$D$4:$D$63,$A20)="","",INDEX(Grid!$D$4:$D$63,$A20)))</f>
        <v/>
      </c>
      <c r="D20" s="12">
        <f>IF($A20="","",IF(INDEX(Grid!$E$4:$E$63,$A20)="","",INDEX(Grid!$E$4:$E$63,$A20)))</f>
        <v/>
      </c>
      <c r="E20" s="11">
        <f>IF($A20="","",IF(INDEX(Grid!$F$4:$F$63,$A20)="","",INDEX(Grid!$F$4:$F$63,$A20)))</f>
        <v/>
      </c>
      <c r="F20" s="11">
        <f>IF($A20="","",IF(ISNUMBER(INDEX(Grid!$I$4:$I$63,$A20)),IF(INDEX(Grid!$I$4:$I$63,$A20)&gt;0,"+","")&amp;ROUND(INDEX(Grid!$I$4:$I$63,$A20),1),"—")&amp;IF(AND(ISNUMBER(INDEX(Grid!$J$4:$J$63,$A20)),ISNUMBER(INDEX(Grid!$K$4:$K$63,$A20)))," ("&amp;IF(INDEX(Grid!$J$4:$J$63,$A20)&gt;0,"+","")&amp;ROUND(INDEX(Grid!$J$4:$J$63,$A20),1)&amp;" / "&amp;IF(INDEX(Grid!$K$4:$K$63,$A20)&gt;0,"+","")&amp;ROUND(INDEX(Grid!$K$4:$K$63,$A20),1)&amp;")",""))</f>
        <v/>
      </c>
      <c r="G20" s="11">
        <f>IF($A20="","",IF(INDEX(Grid!$M$4:$M$63,$A20)="","",INDEX(Grid!$M$4:$M$63,$A20)))</f>
        <v/>
      </c>
    </row>
    <row r="21">
      <c r="A21" s="11">
        <f>IFERROR(SMALL(Grid!$X$4:$X$63,7),"")</f>
        <v/>
      </c>
      <c r="B21" s="12">
        <f>IF($A21="","",IF(INDEX(Grid!$C$4:$C$63,$A21)="","",INDEX(Grid!$C$4:$C$63,$A21)))</f>
        <v/>
      </c>
      <c r="C21" s="12">
        <f>IF($A21="","",IF(INDEX(Grid!$D$4:$D$63,$A21)="","",INDEX(Grid!$D$4:$D$63,$A21)))</f>
        <v/>
      </c>
      <c r="D21" s="12">
        <f>IF($A21="","",IF(INDEX(Grid!$E$4:$E$63,$A21)="","",INDEX(Grid!$E$4:$E$63,$A21)))</f>
        <v/>
      </c>
      <c r="E21" s="11">
        <f>IF($A21="","",IF(INDEX(Grid!$F$4:$F$63,$A21)="","",INDEX(Grid!$F$4:$F$63,$A21)))</f>
        <v/>
      </c>
      <c r="F21" s="11">
        <f>IF($A21="","",IF(ISNUMBER(INDEX(Grid!$I$4:$I$63,$A21)),IF(INDEX(Grid!$I$4:$I$63,$A21)&gt;0,"+","")&amp;ROUND(INDEX(Grid!$I$4:$I$63,$A21),1),"—")&amp;IF(AND(ISNUMBER(INDEX(Grid!$J$4:$J$63,$A21)),ISNUMBER(INDEX(Grid!$K$4:$K$63,$A21)))," ("&amp;IF(INDEX(Grid!$J$4:$J$63,$A21)&gt;0,"+","")&amp;ROUND(INDEX(Grid!$J$4:$J$63,$A21),1)&amp;" / "&amp;IF(INDEX(Grid!$K$4:$K$63,$A21)&gt;0,"+","")&amp;ROUND(INDEX(Grid!$K$4:$K$63,$A21),1)&amp;")",""))</f>
        <v/>
      </c>
      <c r="G21" s="11">
        <f>IF($A21="","",IF(INDEX(Grid!$M$4:$M$63,$A21)="","",INDEX(Grid!$M$4:$M$63,$A21)))</f>
        <v/>
      </c>
    </row>
    <row r="22">
      <c r="A22" s="11">
        <f>IFERROR(SMALL(Grid!$X$4:$X$63,8),"")</f>
        <v/>
      </c>
      <c r="B22" s="12">
        <f>IF($A22="","",IF(INDEX(Grid!$C$4:$C$63,$A22)="","",INDEX(Grid!$C$4:$C$63,$A22)))</f>
        <v/>
      </c>
      <c r="C22" s="12">
        <f>IF($A22="","",IF(INDEX(Grid!$D$4:$D$63,$A22)="","",INDEX(Grid!$D$4:$D$63,$A22)))</f>
        <v/>
      </c>
      <c r="D22" s="12">
        <f>IF($A22="","",IF(INDEX(Grid!$E$4:$E$63,$A22)="","",INDEX(Grid!$E$4:$E$63,$A22)))</f>
        <v/>
      </c>
      <c r="E22" s="11">
        <f>IF($A22="","",IF(INDEX(Grid!$F$4:$F$63,$A22)="","",INDEX(Grid!$F$4:$F$63,$A22)))</f>
        <v/>
      </c>
      <c r="F22" s="11">
        <f>IF($A22="","",IF(ISNUMBER(INDEX(Grid!$I$4:$I$63,$A22)),IF(INDEX(Grid!$I$4:$I$63,$A22)&gt;0,"+","")&amp;ROUND(INDEX(Grid!$I$4:$I$63,$A22),1),"—")&amp;IF(AND(ISNUMBER(INDEX(Grid!$J$4:$J$63,$A22)),ISNUMBER(INDEX(Grid!$K$4:$K$63,$A22)))," ("&amp;IF(INDEX(Grid!$J$4:$J$63,$A22)&gt;0,"+","")&amp;ROUND(INDEX(Grid!$J$4:$J$63,$A22),1)&amp;" / "&amp;IF(INDEX(Grid!$K$4:$K$63,$A22)&gt;0,"+","")&amp;ROUND(INDEX(Grid!$K$4:$K$63,$A22),1)&amp;")",""))</f>
        <v/>
      </c>
      <c r="G22" s="11">
        <f>IF($A22="","",IF(INDEX(Grid!$M$4:$M$63,$A22)="","",INDEX(Grid!$M$4:$M$63,$A22)))</f>
        <v/>
      </c>
    </row>
    <row r="23">
      <c r="A23" s="11">
        <f>IFERROR(SMALL(Grid!$X$4:$X$63,9),"")</f>
        <v/>
      </c>
      <c r="B23" s="12">
        <f>IF($A23="","",IF(INDEX(Grid!$C$4:$C$63,$A23)="","",INDEX(Grid!$C$4:$C$63,$A23)))</f>
        <v/>
      </c>
      <c r="C23" s="12">
        <f>IF($A23="","",IF(INDEX(Grid!$D$4:$D$63,$A23)="","",INDEX(Grid!$D$4:$D$63,$A23)))</f>
        <v/>
      </c>
      <c r="D23" s="12">
        <f>IF($A23="","",IF(INDEX(Grid!$E$4:$E$63,$A23)="","",INDEX(Grid!$E$4:$E$63,$A23)))</f>
        <v/>
      </c>
      <c r="E23" s="11">
        <f>IF($A23="","",IF(INDEX(Grid!$F$4:$F$63,$A23)="","",INDEX(Grid!$F$4:$F$63,$A23)))</f>
        <v/>
      </c>
      <c r="F23" s="11">
        <f>IF($A23="","",IF(ISNUMBER(INDEX(Grid!$I$4:$I$63,$A23)),IF(INDEX(Grid!$I$4:$I$63,$A23)&gt;0,"+","")&amp;ROUND(INDEX(Grid!$I$4:$I$63,$A23),1),"—")&amp;IF(AND(ISNUMBER(INDEX(Grid!$J$4:$J$63,$A23)),ISNUMBER(INDEX(Grid!$K$4:$K$63,$A23)))," ("&amp;IF(INDEX(Grid!$J$4:$J$63,$A23)&gt;0,"+","")&amp;ROUND(INDEX(Grid!$J$4:$J$63,$A23),1)&amp;" / "&amp;IF(INDEX(Grid!$K$4:$K$63,$A23)&gt;0,"+","")&amp;ROUND(INDEX(Grid!$K$4:$K$63,$A23),1)&amp;")",""))</f>
        <v/>
      </c>
      <c r="G23" s="11">
        <f>IF($A23="","",IF(INDEX(Grid!$M$4:$M$63,$A23)="","",INDEX(Grid!$M$4:$M$63,$A23)))</f>
        <v/>
      </c>
    </row>
    <row r="24">
      <c r="A24" s="11">
        <f>IFERROR(SMALL(Grid!$X$4:$X$63,10),"")</f>
        <v/>
      </c>
      <c r="B24" s="12">
        <f>IF($A24="","",IF(INDEX(Grid!$C$4:$C$63,$A24)="","",INDEX(Grid!$C$4:$C$63,$A24)))</f>
        <v/>
      </c>
      <c r="C24" s="12">
        <f>IF($A24="","",IF(INDEX(Grid!$D$4:$D$63,$A24)="","",INDEX(Grid!$D$4:$D$63,$A24)))</f>
        <v/>
      </c>
      <c r="D24" s="12">
        <f>IF($A24="","",IF(INDEX(Grid!$E$4:$E$63,$A24)="","",INDEX(Grid!$E$4:$E$63,$A24)))</f>
        <v/>
      </c>
      <c r="E24" s="11">
        <f>IF($A24="","",IF(INDEX(Grid!$F$4:$F$63,$A24)="","",INDEX(Grid!$F$4:$F$63,$A24)))</f>
        <v/>
      </c>
      <c r="F24" s="11">
        <f>IF($A24="","",IF(ISNUMBER(INDEX(Grid!$I$4:$I$63,$A24)),IF(INDEX(Grid!$I$4:$I$63,$A24)&gt;0,"+","")&amp;ROUND(INDEX(Grid!$I$4:$I$63,$A24),1),"—")&amp;IF(AND(ISNUMBER(INDEX(Grid!$J$4:$J$63,$A24)),ISNUMBER(INDEX(Grid!$K$4:$K$63,$A24)))," ("&amp;IF(INDEX(Grid!$J$4:$J$63,$A24)&gt;0,"+","")&amp;ROUND(INDEX(Grid!$J$4:$J$63,$A24),1)&amp;" / "&amp;IF(INDEX(Grid!$K$4:$K$63,$A24)&gt;0,"+","")&amp;ROUND(INDEX(Grid!$K$4:$K$63,$A24),1)&amp;")",""))</f>
        <v/>
      </c>
      <c r="G24" s="11">
        <f>IF($A24="","",IF(INDEX(Grid!$M$4:$M$63,$A24)="","",INDEX(Grid!$M$4:$M$63,$A24)))</f>
        <v/>
      </c>
    </row>
    <row r="25">
      <c r="A25" s="11">
        <f>IFERROR(SMALL(Grid!$X$4:$X$63,11),"")</f>
        <v/>
      </c>
      <c r="B25" s="12">
        <f>IF($A25="","",IF(INDEX(Grid!$C$4:$C$63,$A25)="","",INDEX(Grid!$C$4:$C$63,$A25)))</f>
        <v/>
      </c>
      <c r="C25" s="12">
        <f>IF($A25="","",IF(INDEX(Grid!$D$4:$D$63,$A25)="","",INDEX(Grid!$D$4:$D$63,$A25)))</f>
        <v/>
      </c>
      <c r="D25" s="12">
        <f>IF($A25="","",IF(INDEX(Grid!$E$4:$E$63,$A25)="","",INDEX(Grid!$E$4:$E$63,$A25)))</f>
        <v/>
      </c>
      <c r="E25" s="11">
        <f>IF($A25="","",IF(INDEX(Grid!$F$4:$F$63,$A25)="","",INDEX(Grid!$F$4:$F$63,$A25)))</f>
        <v/>
      </c>
      <c r="F25" s="11">
        <f>IF($A25="","",IF(ISNUMBER(INDEX(Grid!$I$4:$I$63,$A25)),IF(INDEX(Grid!$I$4:$I$63,$A25)&gt;0,"+","")&amp;ROUND(INDEX(Grid!$I$4:$I$63,$A25),1),"—")&amp;IF(AND(ISNUMBER(INDEX(Grid!$J$4:$J$63,$A25)),ISNUMBER(INDEX(Grid!$K$4:$K$63,$A25)))," ("&amp;IF(INDEX(Grid!$J$4:$J$63,$A25)&gt;0,"+","")&amp;ROUND(INDEX(Grid!$J$4:$J$63,$A25),1)&amp;" / "&amp;IF(INDEX(Grid!$K$4:$K$63,$A25)&gt;0,"+","")&amp;ROUND(INDEX(Grid!$K$4:$K$63,$A25),1)&amp;")",""))</f>
        <v/>
      </c>
      <c r="G25" s="11">
        <f>IF($A25="","",IF(INDEX(Grid!$M$4:$M$63,$A25)="","",INDEX(Grid!$M$4:$M$63,$A25)))</f>
        <v/>
      </c>
    </row>
    <row r="26">
      <c r="A26" s="11">
        <f>IFERROR(SMALL(Grid!$X$4:$X$63,12),"")</f>
        <v/>
      </c>
      <c r="B26" s="12">
        <f>IF($A26="","",IF(INDEX(Grid!$C$4:$C$63,$A26)="","",INDEX(Grid!$C$4:$C$63,$A26)))</f>
        <v/>
      </c>
      <c r="C26" s="12">
        <f>IF($A26="","",IF(INDEX(Grid!$D$4:$D$63,$A26)="","",INDEX(Grid!$D$4:$D$63,$A26)))</f>
        <v/>
      </c>
      <c r="D26" s="12">
        <f>IF($A26="","",IF(INDEX(Grid!$E$4:$E$63,$A26)="","",INDEX(Grid!$E$4:$E$63,$A26)))</f>
        <v/>
      </c>
      <c r="E26" s="11">
        <f>IF($A26="","",IF(INDEX(Grid!$F$4:$F$63,$A26)="","",INDEX(Grid!$F$4:$F$63,$A26)))</f>
        <v/>
      </c>
      <c r="F26" s="11">
        <f>IF($A26="","",IF(ISNUMBER(INDEX(Grid!$I$4:$I$63,$A26)),IF(INDEX(Grid!$I$4:$I$63,$A26)&gt;0,"+","")&amp;ROUND(INDEX(Grid!$I$4:$I$63,$A26),1),"—")&amp;IF(AND(ISNUMBER(INDEX(Grid!$J$4:$J$63,$A26)),ISNUMBER(INDEX(Grid!$K$4:$K$63,$A26)))," ("&amp;IF(INDEX(Grid!$J$4:$J$63,$A26)&gt;0,"+","")&amp;ROUND(INDEX(Grid!$J$4:$J$63,$A26),1)&amp;" / "&amp;IF(INDEX(Grid!$K$4:$K$63,$A26)&gt;0,"+","")&amp;ROUND(INDEX(Grid!$K$4:$K$63,$A26),1)&amp;")",""))</f>
        <v/>
      </c>
      <c r="G26" s="11">
        <f>IF($A26="","",IF(INDEX(Grid!$M$4:$M$63,$A26)="","",INDEX(Grid!$M$4:$M$63,$A26)))</f>
        <v/>
      </c>
    </row>
    <row r="27">
      <c r="A27" s="11">
        <f>IFERROR(SMALL(Grid!$X$4:$X$63,13),"")</f>
        <v/>
      </c>
      <c r="B27" s="12">
        <f>IF($A27="","",IF(INDEX(Grid!$C$4:$C$63,$A27)="","",INDEX(Grid!$C$4:$C$63,$A27)))</f>
        <v/>
      </c>
      <c r="C27" s="12">
        <f>IF($A27="","",IF(INDEX(Grid!$D$4:$D$63,$A27)="","",INDEX(Grid!$D$4:$D$63,$A27)))</f>
        <v/>
      </c>
      <c r="D27" s="12">
        <f>IF($A27="","",IF(INDEX(Grid!$E$4:$E$63,$A27)="","",INDEX(Grid!$E$4:$E$63,$A27)))</f>
        <v/>
      </c>
      <c r="E27" s="11">
        <f>IF($A27="","",IF(INDEX(Grid!$F$4:$F$63,$A27)="","",INDEX(Grid!$F$4:$F$63,$A27)))</f>
        <v/>
      </c>
      <c r="F27" s="11">
        <f>IF($A27="","",IF(ISNUMBER(INDEX(Grid!$I$4:$I$63,$A27)),IF(INDEX(Grid!$I$4:$I$63,$A27)&gt;0,"+","")&amp;ROUND(INDEX(Grid!$I$4:$I$63,$A27),1),"—")&amp;IF(AND(ISNUMBER(INDEX(Grid!$J$4:$J$63,$A27)),ISNUMBER(INDEX(Grid!$K$4:$K$63,$A27)))," ("&amp;IF(INDEX(Grid!$J$4:$J$63,$A27)&gt;0,"+","")&amp;ROUND(INDEX(Grid!$J$4:$J$63,$A27),1)&amp;" / "&amp;IF(INDEX(Grid!$K$4:$K$63,$A27)&gt;0,"+","")&amp;ROUND(INDEX(Grid!$K$4:$K$63,$A27),1)&amp;")",""))</f>
        <v/>
      </c>
      <c r="G27" s="11">
        <f>IF($A27="","",IF(INDEX(Grid!$M$4:$M$63,$A27)="","",INDEX(Grid!$M$4:$M$63,$A27)))</f>
        <v/>
      </c>
    </row>
    <row r="28">
      <c r="A28" s="11">
        <f>IFERROR(SMALL(Grid!$X$4:$X$63,14),"")</f>
        <v/>
      </c>
      <c r="B28" s="12">
        <f>IF($A28="","",IF(INDEX(Grid!$C$4:$C$63,$A28)="","",INDEX(Grid!$C$4:$C$63,$A28)))</f>
        <v/>
      </c>
      <c r="C28" s="12">
        <f>IF($A28="","",IF(INDEX(Grid!$D$4:$D$63,$A28)="","",INDEX(Grid!$D$4:$D$63,$A28)))</f>
        <v/>
      </c>
      <c r="D28" s="12">
        <f>IF($A28="","",IF(INDEX(Grid!$E$4:$E$63,$A28)="","",INDEX(Grid!$E$4:$E$63,$A28)))</f>
        <v/>
      </c>
      <c r="E28" s="11">
        <f>IF($A28="","",IF(INDEX(Grid!$F$4:$F$63,$A28)="","",INDEX(Grid!$F$4:$F$63,$A28)))</f>
        <v/>
      </c>
      <c r="F28" s="11">
        <f>IF($A28="","",IF(ISNUMBER(INDEX(Grid!$I$4:$I$63,$A28)),IF(INDEX(Grid!$I$4:$I$63,$A28)&gt;0,"+","")&amp;ROUND(INDEX(Grid!$I$4:$I$63,$A28),1),"—")&amp;IF(AND(ISNUMBER(INDEX(Grid!$J$4:$J$63,$A28)),ISNUMBER(INDEX(Grid!$K$4:$K$63,$A28)))," ("&amp;IF(INDEX(Grid!$J$4:$J$63,$A28)&gt;0,"+","")&amp;ROUND(INDEX(Grid!$J$4:$J$63,$A28),1)&amp;" / "&amp;IF(INDEX(Grid!$K$4:$K$63,$A28)&gt;0,"+","")&amp;ROUND(INDEX(Grid!$K$4:$K$63,$A28),1)&amp;")",""))</f>
        <v/>
      </c>
      <c r="G28" s="11">
        <f>IF($A28="","",IF(INDEX(Grid!$M$4:$M$63,$A28)="","",INDEX(Grid!$M$4:$M$63,$A28)))</f>
        <v/>
      </c>
    </row>
    <row r="29">
      <c r="A29" s="11">
        <f>IFERROR(SMALL(Grid!$X$4:$X$63,15),"")</f>
        <v/>
      </c>
      <c r="B29" s="12">
        <f>IF($A29="","",IF(INDEX(Grid!$C$4:$C$63,$A29)="","",INDEX(Grid!$C$4:$C$63,$A29)))</f>
        <v/>
      </c>
      <c r="C29" s="12">
        <f>IF($A29="","",IF(INDEX(Grid!$D$4:$D$63,$A29)="","",INDEX(Grid!$D$4:$D$63,$A29)))</f>
        <v/>
      </c>
      <c r="D29" s="12">
        <f>IF($A29="","",IF(INDEX(Grid!$E$4:$E$63,$A29)="","",INDEX(Grid!$E$4:$E$63,$A29)))</f>
        <v/>
      </c>
      <c r="E29" s="11">
        <f>IF($A29="","",IF(INDEX(Grid!$F$4:$F$63,$A29)="","",INDEX(Grid!$F$4:$F$63,$A29)))</f>
        <v/>
      </c>
      <c r="F29" s="11">
        <f>IF($A29="","",IF(ISNUMBER(INDEX(Grid!$I$4:$I$63,$A29)),IF(INDEX(Grid!$I$4:$I$63,$A29)&gt;0,"+","")&amp;ROUND(INDEX(Grid!$I$4:$I$63,$A29),1),"—")&amp;IF(AND(ISNUMBER(INDEX(Grid!$J$4:$J$63,$A29)),ISNUMBER(INDEX(Grid!$K$4:$K$63,$A29)))," ("&amp;IF(INDEX(Grid!$J$4:$J$63,$A29)&gt;0,"+","")&amp;ROUND(INDEX(Grid!$J$4:$J$63,$A29),1)&amp;" / "&amp;IF(INDEX(Grid!$K$4:$K$63,$A29)&gt;0,"+","")&amp;ROUND(INDEX(Grid!$K$4:$K$63,$A29),1)&amp;")",""))</f>
        <v/>
      </c>
      <c r="G29" s="11">
        <f>IF($A29="","",IF(INDEX(Grid!$M$4:$M$63,$A29)="","",INDEX(Grid!$M$4:$M$63,$A29)))</f>
        <v/>
      </c>
    </row>
    <row r="30">
      <c r="A30" s="11">
        <f>IFERROR(SMALL(Grid!$X$4:$X$63,16),"")</f>
        <v/>
      </c>
      <c r="B30" s="12">
        <f>IF($A30="","",IF(INDEX(Grid!$C$4:$C$63,$A30)="","",INDEX(Grid!$C$4:$C$63,$A30)))</f>
        <v/>
      </c>
      <c r="C30" s="12">
        <f>IF($A30="","",IF(INDEX(Grid!$D$4:$D$63,$A30)="","",INDEX(Grid!$D$4:$D$63,$A30)))</f>
        <v/>
      </c>
      <c r="D30" s="12">
        <f>IF($A30="","",IF(INDEX(Grid!$E$4:$E$63,$A30)="","",INDEX(Grid!$E$4:$E$63,$A30)))</f>
        <v/>
      </c>
      <c r="E30" s="11">
        <f>IF($A30="","",IF(INDEX(Grid!$F$4:$F$63,$A30)="","",INDEX(Grid!$F$4:$F$63,$A30)))</f>
        <v/>
      </c>
      <c r="F30" s="11">
        <f>IF($A30="","",IF(ISNUMBER(INDEX(Grid!$I$4:$I$63,$A30)),IF(INDEX(Grid!$I$4:$I$63,$A30)&gt;0,"+","")&amp;ROUND(INDEX(Grid!$I$4:$I$63,$A30),1),"—")&amp;IF(AND(ISNUMBER(INDEX(Grid!$J$4:$J$63,$A30)),ISNUMBER(INDEX(Grid!$K$4:$K$63,$A30)))," ("&amp;IF(INDEX(Grid!$J$4:$J$63,$A30)&gt;0,"+","")&amp;ROUND(INDEX(Grid!$J$4:$J$63,$A30),1)&amp;" / "&amp;IF(INDEX(Grid!$K$4:$K$63,$A30)&gt;0,"+","")&amp;ROUND(INDEX(Grid!$K$4:$K$63,$A30),1)&amp;")",""))</f>
        <v/>
      </c>
      <c r="G30" s="11">
        <f>IF($A30="","",IF(INDEX(Grid!$M$4:$M$63,$A30)="","",INDEX(Grid!$M$4:$M$63,$A30)))</f>
        <v/>
      </c>
    </row>
    <row r="31">
      <c r="A31" s="11">
        <f>IFERROR(SMALL(Grid!$X$4:$X$63,17),"")</f>
        <v/>
      </c>
      <c r="B31" s="12">
        <f>IF($A31="","",IF(INDEX(Grid!$C$4:$C$63,$A31)="","",INDEX(Grid!$C$4:$C$63,$A31)))</f>
        <v/>
      </c>
      <c r="C31" s="12">
        <f>IF($A31="","",IF(INDEX(Grid!$D$4:$D$63,$A31)="","",INDEX(Grid!$D$4:$D$63,$A31)))</f>
        <v/>
      </c>
      <c r="D31" s="12">
        <f>IF($A31="","",IF(INDEX(Grid!$E$4:$E$63,$A31)="","",INDEX(Grid!$E$4:$E$63,$A31)))</f>
        <v/>
      </c>
      <c r="E31" s="11">
        <f>IF($A31="","",IF(INDEX(Grid!$F$4:$F$63,$A31)="","",INDEX(Grid!$F$4:$F$63,$A31)))</f>
        <v/>
      </c>
      <c r="F31" s="11">
        <f>IF($A31="","",IF(ISNUMBER(INDEX(Grid!$I$4:$I$63,$A31)),IF(INDEX(Grid!$I$4:$I$63,$A31)&gt;0,"+","")&amp;ROUND(INDEX(Grid!$I$4:$I$63,$A31),1),"—")&amp;IF(AND(ISNUMBER(INDEX(Grid!$J$4:$J$63,$A31)),ISNUMBER(INDEX(Grid!$K$4:$K$63,$A31)))," ("&amp;IF(INDEX(Grid!$J$4:$J$63,$A31)&gt;0,"+","")&amp;ROUND(INDEX(Grid!$J$4:$J$63,$A31),1)&amp;" / "&amp;IF(INDEX(Grid!$K$4:$K$63,$A31)&gt;0,"+","")&amp;ROUND(INDEX(Grid!$K$4:$K$63,$A31),1)&amp;")",""))</f>
        <v/>
      </c>
      <c r="G31" s="11">
        <f>IF($A31="","",IF(INDEX(Grid!$M$4:$M$63,$A31)="","",INDEX(Grid!$M$4:$M$63,$A31)))</f>
        <v/>
      </c>
    </row>
    <row r="32">
      <c r="A32" s="11">
        <f>IFERROR(SMALL(Grid!$X$4:$X$63,18),"")</f>
        <v/>
      </c>
      <c r="B32" s="12">
        <f>IF($A32="","",IF(INDEX(Grid!$C$4:$C$63,$A32)="","",INDEX(Grid!$C$4:$C$63,$A32)))</f>
        <v/>
      </c>
      <c r="C32" s="12">
        <f>IF($A32="","",IF(INDEX(Grid!$D$4:$D$63,$A32)="","",INDEX(Grid!$D$4:$D$63,$A32)))</f>
        <v/>
      </c>
      <c r="D32" s="12">
        <f>IF($A32="","",IF(INDEX(Grid!$E$4:$E$63,$A32)="","",INDEX(Grid!$E$4:$E$63,$A32)))</f>
        <v/>
      </c>
      <c r="E32" s="11">
        <f>IF($A32="","",IF(INDEX(Grid!$F$4:$F$63,$A32)="","",INDEX(Grid!$F$4:$F$63,$A32)))</f>
        <v/>
      </c>
      <c r="F32" s="11">
        <f>IF($A32="","",IF(ISNUMBER(INDEX(Grid!$I$4:$I$63,$A32)),IF(INDEX(Grid!$I$4:$I$63,$A32)&gt;0,"+","")&amp;ROUND(INDEX(Grid!$I$4:$I$63,$A32),1),"—")&amp;IF(AND(ISNUMBER(INDEX(Grid!$J$4:$J$63,$A32)),ISNUMBER(INDEX(Grid!$K$4:$K$63,$A32)))," ("&amp;IF(INDEX(Grid!$J$4:$J$63,$A32)&gt;0,"+","")&amp;ROUND(INDEX(Grid!$J$4:$J$63,$A32),1)&amp;" / "&amp;IF(INDEX(Grid!$K$4:$K$63,$A32)&gt;0,"+","")&amp;ROUND(INDEX(Grid!$K$4:$K$63,$A32),1)&amp;")",""))</f>
        <v/>
      </c>
      <c r="G32" s="11">
        <f>IF($A32="","",IF(INDEX(Grid!$M$4:$M$63,$A32)="","",INDEX(Grid!$M$4:$M$63,$A32)))</f>
        <v/>
      </c>
    </row>
    <row r="33">
      <c r="A33" s="11">
        <f>IFERROR(SMALL(Grid!$X$4:$X$63,19),"")</f>
        <v/>
      </c>
      <c r="B33" s="12">
        <f>IF($A33="","",IF(INDEX(Grid!$C$4:$C$63,$A33)="","",INDEX(Grid!$C$4:$C$63,$A33)))</f>
        <v/>
      </c>
      <c r="C33" s="12">
        <f>IF($A33="","",IF(INDEX(Grid!$D$4:$D$63,$A33)="","",INDEX(Grid!$D$4:$D$63,$A33)))</f>
        <v/>
      </c>
      <c r="D33" s="12">
        <f>IF($A33="","",IF(INDEX(Grid!$E$4:$E$63,$A33)="","",INDEX(Grid!$E$4:$E$63,$A33)))</f>
        <v/>
      </c>
      <c r="E33" s="11">
        <f>IF($A33="","",IF(INDEX(Grid!$F$4:$F$63,$A33)="","",INDEX(Grid!$F$4:$F$63,$A33)))</f>
        <v/>
      </c>
      <c r="F33" s="11">
        <f>IF($A33="","",IF(ISNUMBER(INDEX(Grid!$I$4:$I$63,$A33)),IF(INDEX(Grid!$I$4:$I$63,$A33)&gt;0,"+","")&amp;ROUND(INDEX(Grid!$I$4:$I$63,$A33),1),"—")&amp;IF(AND(ISNUMBER(INDEX(Grid!$J$4:$J$63,$A33)),ISNUMBER(INDEX(Grid!$K$4:$K$63,$A33)))," ("&amp;IF(INDEX(Grid!$J$4:$J$63,$A33)&gt;0,"+","")&amp;ROUND(INDEX(Grid!$J$4:$J$63,$A33),1)&amp;" / "&amp;IF(INDEX(Grid!$K$4:$K$63,$A33)&gt;0,"+","")&amp;ROUND(INDEX(Grid!$K$4:$K$63,$A33),1)&amp;")",""))</f>
        <v/>
      </c>
      <c r="G33" s="11">
        <f>IF($A33="","",IF(INDEX(Grid!$M$4:$M$63,$A33)="","",INDEX(Grid!$M$4:$M$63,$A33)))</f>
        <v/>
      </c>
    </row>
    <row r="34">
      <c r="A34" s="11">
        <f>IFERROR(SMALL(Grid!$X$4:$X$63,20),"")</f>
        <v/>
      </c>
      <c r="B34" s="12">
        <f>IF($A34="","",IF(INDEX(Grid!$C$4:$C$63,$A34)="","",INDEX(Grid!$C$4:$C$63,$A34)))</f>
        <v/>
      </c>
      <c r="C34" s="12">
        <f>IF($A34="","",IF(INDEX(Grid!$D$4:$D$63,$A34)="","",INDEX(Grid!$D$4:$D$63,$A34)))</f>
        <v/>
      </c>
      <c r="D34" s="12">
        <f>IF($A34="","",IF(INDEX(Grid!$E$4:$E$63,$A34)="","",INDEX(Grid!$E$4:$E$63,$A34)))</f>
        <v/>
      </c>
      <c r="E34" s="11">
        <f>IF($A34="","",IF(INDEX(Grid!$F$4:$F$63,$A34)="","",INDEX(Grid!$F$4:$F$63,$A34)))</f>
        <v/>
      </c>
      <c r="F34" s="11">
        <f>IF($A34="","",IF(ISNUMBER(INDEX(Grid!$I$4:$I$63,$A34)),IF(INDEX(Grid!$I$4:$I$63,$A34)&gt;0,"+","")&amp;ROUND(INDEX(Grid!$I$4:$I$63,$A34),1),"—")&amp;IF(AND(ISNUMBER(INDEX(Grid!$J$4:$J$63,$A34)),ISNUMBER(INDEX(Grid!$K$4:$K$63,$A34)))," ("&amp;IF(INDEX(Grid!$J$4:$J$63,$A34)&gt;0,"+","")&amp;ROUND(INDEX(Grid!$J$4:$J$63,$A34),1)&amp;" / "&amp;IF(INDEX(Grid!$K$4:$K$63,$A34)&gt;0,"+","")&amp;ROUND(INDEX(Grid!$K$4:$K$63,$A34),1)&amp;")",""))</f>
        <v/>
      </c>
      <c r="G34" s="11">
        <f>IF($A34="","",IF(INDEX(Grid!$M$4:$M$63,$A34)="","",INDEX(Grid!$M$4:$M$63,$A34)))</f>
        <v/>
      </c>
    </row>
    <row r="36">
      <c r="A36" s="9" t="inlineStr">
        <is>
          <t>Unknowns — each owned and dated</t>
        </is>
      </c>
    </row>
    <row r="37">
      <c r="A37">
        <f>IFERROR(SMALL(Grid!$Y$4:$Y$63,1),"")</f>
        <v/>
      </c>
      <c r="B37">
        <f>IF($A37="","",INDEX(Grid!$C$4:$C$63,$A37)&amp;" — owner: "&amp;IF(INDEX(Grid!$M$4:$M$63,$A37)="","none yet",INDEX(Grid!$M$4:$M$63,$A37))&amp;IF(INDEX(Grid!$N$4:$N$63,$A37)="","",", by "&amp;INDEX(Grid!$N$4:$N$63,$A37)))</f>
        <v/>
      </c>
    </row>
    <row r="38">
      <c r="A38">
        <f>IFERROR(SMALL(Grid!$Y$4:$Y$63,2),"")</f>
        <v/>
      </c>
      <c r="B38">
        <f>IF($A38="","",INDEX(Grid!$C$4:$C$63,$A38)&amp;" — owner: "&amp;IF(INDEX(Grid!$M$4:$M$63,$A38)="","none yet",INDEX(Grid!$M$4:$M$63,$A38))&amp;IF(INDEX(Grid!$N$4:$N$63,$A38)="","",", by "&amp;INDEX(Grid!$N$4:$N$63,$A38)))</f>
        <v/>
      </c>
    </row>
    <row r="39">
      <c r="A39">
        <f>IFERROR(SMALL(Grid!$Y$4:$Y$63,3),"")</f>
        <v/>
      </c>
      <c r="B39">
        <f>IF($A39="","",INDEX(Grid!$C$4:$C$63,$A39)&amp;" — owner: "&amp;IF(INDEX(Grid!$M$4:$M$63,$A39)="","none yet",INDEX(Grid!$M$4:$M$63,$A39))&amp;IF(INDEX(Grid!$N$4:$N$63,$A39)="","",", by "&amp;INDEX(Grid!$N$4:$N$63,$A39)))</f>
        <v/>
      </c>
    </row>
    <row r="40">
      <c r="A40">
        <f>IFERROR(SMALL(Grid!$Y$4:$Y$63,4),"")</f>
        <v/>
      </c>
      <c r="B40">
        <f>IF($A40="","",INDEX(Grid!$C$4:$C$63,$A40)&amp;" — owner: "&amp;IF(INDEX(Grid!$M$4:$M$63,$A40)="","none yet",INDEX(Grid!$M$4:$M$63,$A40))&amp;IF(INDEX(Grid!$N$4:$N$63,$A40)="","",", by "&amp;INDEX(Grid!$N$4:$N$63,$A40)))</f>
        <v/>
      </c>
    </row>
    <row r="41">
      <c r="A41">
        <f>IFERROR(SMALL(Grid!$Y$4:$Y$63,5),"")</f>
        <v/>
      </c>
      <c r="B41">
        <f>IF($A41="","",INDEX(Grid!$C$4:$C$63,$A41)&amp;" — owner: "&amp;IF(INDEX(Grid!$M$4:$M$63,$A41)="","none yet",INDEX(Grid!$M$4:$M$63,$A41))&amp;IF(INDEX(Grid!$N$4:$N$63,$A41)="","",", by "&amp;INDEX(Grid!$N$4:$N$63,$A41)))</f>
        <v/>
      </c>
    </row>
    <row r="42">
      <c r="A42">
        <f>IFERROR(SMALL(Grid!$Y$4:$Y$63,6),"")</f>
        <v/>
      </c>
      <c r="B42">
        <f>IF($A42="","",INDEX(Grid!$C$4:$C$63,$A42)&amp;" — owner: "&amp;IF(INDEX(Grid!$M$4:$M$63,$A42)="","none yet",INDEX(Grid!$M$4:$M$63,$A42))&amp;IF(INDEX(Grid!$N$4:$N$63,$A42)="","",", by "&amp;INDEX(Grid!$N$4:$N$63,$A42)))</f>
        <v/>
      </c>
    </row>
    <row r="43">
      <c r="A43">
        <f>IFERROR(SMALL(Grid!$Y$4:$Y$63,7),"")</f>
        <v/>
      </c>
      <c r="B43">
        <f>IF($A43="","",INDEX(Grid!$C$4:$C$63,$A43)&amp;" — owner: "&amp;IF(INDEX(Grid!$M$4:$M$63,$A43)="","none yet",INDEX(Grid!$M$4:$M$63,$A43))&amp;IF(INDEX(Grid!$N$4:$N$63,$A43)="","",", by "&amp;INDEX(Grid!$N$4:$N$63,$A43)))</f>
        <v/>
      </c>
    </row>
    <row r="44">
      <c r="A44">
        <f>IFERROR(SMALL(Grid!$Y$4:$Y$63,8),"")</f>
        <v/>
      </c>
      <c r="B44">
        <f>IF($A44="","",INDEX(Grid!$C$4:$C$63,$A44)&amp;" — owner: "&amp;IF(INDEX(Grid!$M$4:$M$63,$A44)="","none yet",INDEX(Grid!$M$4:$M$63,$A44))&amp;IF(INDEX(Grid!$N$4:$N$63,$A44)="","",", by "&amp;INDEX(Grid!$N$4:$N$63,$A44)))</f>
        <v/>
      </c>
    </row>
    <row r="45">
      <c r="A45">
        <f>IFERROR(SMALL(Grid!$Y$4:$Y$63,9),"")</f>
        <v/>
      </c>
      <c r="B45">
        <f>IF($A45="","",INDEX(Grid!$C$4:$C$63,$A45)&amp;" — owner: "&amp;IF(INDEX(Grid!$M$4:$M$63,$A45)="","none yet",INDEX(Grid!$M$4:$M$63,$A45))&amp;IF(INDEX(Grid!$N$4:$N$63,$A45)="","",", by "&amp;INDEX(Grid!$N$4:$N$63,$A45)))</f>
        <v/>
      </c>
    </row>
    <row r="46">
      <c r="A46">
        <f>IFERROR(SMALL(Grid!$Y$4:$Y$63,10),"")</f>
        <v/>
      </c>
      <c r="B46">
        <f>IF($A46="","",INDEX(Grid!$C$4:$C$63,$A46)&amp;" — owner: "&amp;IF(INDEX(Grid!$M$4:$M$63,$A46)="","none yet",INDEX(Grid!$M$4:$M$63,$A46))&amp;IF(INDEX(Grid!$N$4:$N$63,$A46)="","",", by "&amp;INDEX(Grid!$N$4:$N$63,$A46)))</f>
        <v/>
      </c>
    </row>
  </sheetData>
  <conditionalFormatting sqref="E15:E34">
    <cfRule type="cellIs" priority="1" operator="equal" dxfId="6">
      <formula>"Problem"</formula>
    </cfRule>
    <cfRule type="cellIs" priority="2" operator="equal" dxfId="7">
      <formula>"Watch"</formula>
    </cfRule>
  </conditionalFormatting>
  <pageMargins left="0.75" right="0.75" top="1" bottom="1" header="0.5" footer="0.5"/>
  <pageSetup orientation="portrait" fitToHeight="0" fitToWidth="1"/>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sheetData>
    <row r="1">
      <c r="A1" s="23" t="inlineStr">
        <is>
          <t>Calls</t>
        </is>
      </c>
      <c r="C1" s="23" t="inlineStr">
        <is>
          <t>Drives</t>
        </is>
      </c>
      <c r="D1" s="23" t="inlineStr">
        <is>
          <t>Bridge step</t>
        </is>
      </c>
      <c r="F1" s="23" t="inlineStr">
        <is>
          <t>Evidence</t>
        </is>
      </c>
      <c r="G1" s="23" t="inlineStr">
        <is>
          <t>Weight</t>
        </is>
      </c>
      <c r="I1" s="23" t="inlineStr">
        <is>
          <t>Bridge order</t>
        </is>
      </c>
    </row>
    <row r="2">
      <c r="A2" t="inlineStr">
        <is>
          <t>Same</t>
        </is>
      </c>
      <c r="C2" t="inlineStr">
        <is>
          <t>CPT / volume</t>
        </is>
      </c>
      <c r="D2" t="inlineStr">
        <is>
          <t>CPT</t>
        </is>
      </c>
      <c r="F2" t="inlineStr">
        <is>
          <t>Established</t>
        </is>
      </c>
      <c r="G2" t="n">
        <v>0.2</v>
      </c>
      <c r="I2" t="inlineStr">
        <is>
          <t>season</t>
        </is>
      </c>
    </row>
    <row r="3">
      <c r="A3" t="inlineStr">
        <is>
          <t>Acceptable</t>
        </is>
      </c>
      <c r="C3" t="inlineStr">
        <is>
          <t>Volume shape</t>
        </is>
      </c>
      <c r="D3" t="inlineStr">
        <is>
          <t>season</t>
        </is>
      </c>
      <c r="F3" t="inlineStr">
        <is>
          <t>Inferred</t>
        </is>
      </c>
      <c r="G3" t="n">
        <v>0.5</v>
      </c>
      <c r="I3" t="inlineStr">
        <is>
          <t>mix</t>
        </is>
      </c>
    </row>
    <row r="4">
      <c r="A4" t="inlineStr">
        <is>
          <t>Watch</t>
        </is>
      </c>
      <c r="C4" t="inlineStr">
        <is>
          <t>AHT</t>
        </is>
      </c>
      <c r="D4" t="inlineStr">
        <is>
          <t>AHT</t>
        </is>
      </c>
      <c r="F4" t="inlineStr">
        <is>
          <t>Asserted</t>
        </is>
      </c>
      <c r="G4" t="n">
        <v>0.8</v>
      </c>
      <c r="I4" t="inlineStr">
        <is>
          <t>CPT</t>
        </is>
      </c>
    </row>
    <row r="5">
      <c r="A5" t="inlineStr">
        <is>
          <t>Problem</t>
        </is>
      </c>
      <c r="C5" t="inlineStr">
        <is>
          <t>Concurrency</t>
        </is>
      </c>
      <c r="D5" t="inlineStr">
        <is>
          <t>AHT</t>
        </is>
      </c>
      <c r="F5" t="inlineStr">
        <is>
          <t>Open</t>
        </is>
      </c>
      <c r="G5" t="n">
        <v>1</v>
      </c>
      <c r="I5" t="inlineStr">
        <is>
          <t>AHT</t>
        </is>
      </c>
    </row>
    <row r="6">
      <c r="A6" t="inlineStr">
        <is>
          <t>Unknown</t>
        </is>
      </c>
      <c r="C6" t="inlineStr">
        <is>
          <t>Shrinkage</t>
        </is>
      </c>
      <c r="D6" t="inlineStr">
        <is>
          <t>shrink</t>
        </is>
      </c>
      <c r="I6" t="inlineStr">
        <is>
          <t>shrink</t>
        </is>
      </c>
    </row>
    <row r="7">
      <c r="C7" t="inlineStr">
        <is>
          <t>Pooling</t>
        </is>
      </c>
      <c r="D7" t="inlineStr">
        <is>
          <t>mix</t>
        </is>
      </c>
      <c r="I7" t="inlineStr">
        <is>
          <t>timing</t>
        </is>
      </c>
    </row>
    <row r="8">
      <c r="C8" t="inlineStr">
        <is>
          <t>Attrition</t>
        </is>
      </c>
      <c r="D8" t="inlineStr">
        <is>
          <t>attrition</t>
        </is>
      </c>
      <c r="I8" t="inlineStr">
        <is>
          <t>SL</t>
        </is>
      </c>
    </row>
    <row r="9">
      <c r="C9" t="inlineStr">
        <is>
          <t>Supply timing</t>
        </is>
      </c>
      <c r="D9" t="inlineStr">
        <is>
          <t>timing</t>
        </is>
      </c>
      <c r="I9" t="inlineStr">
        <is>
          <t>attrition</t>
        </is>
      </c>
    </row>
    <row r="10">
      <c r="C10" t="inlineStr">
        <is>
          <t>Service level</t>
        </is>
      </c>
      <c r="D10" t="inlineStr">
        <is>
          <t>SL</t>
        </is>
      </c>
      <c r="I10" t="inlineStr">
        <is>
          <t>other</t>
        </is>
      </c>
    </row>
    <row r="11">
      <c r="C11" t="inlineStr">
        <is>
          <t>Abandonment</t>
        </is>
      </c>
      <c r="D11" t="inlineStr">
        <is>
          <t>SL</t>
        </is>
      </c>
    </row>
    <row r="12">
      <c r="C12" t="inlineStr">
        <is>
          <t>Several</t>
        </is>
      </c>
      <c r="D12"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WFM Labs</dc:creator>
  <dc:title xmlns:dc="http://purl.org/dc/elements/1.1/">Departure–Arrival Assumptions Grid</dc:title>
  <dcterms:created xmlns:dcterms="http://purl.org/dc/terms/" xmlns:xsi="http://www.w3.org/2001/XMLSchema-instance" xsi:type="dcterms:W3CDTF">2026-10-06T20:59:31Z</dcterms:created>
  <dcterms:modified xmlns:dcterms="http://purl.org/dc/terms/" xmlns:xsi="http://www.w3.org/2001/XMLSchema-instance" xsi:type="dcterms:W3CDTF">2026-10-06T20:59:31Z</dcterms:modified>
  <cp:lastModifiedBy>WFM Labs</cp:lastModifiedBy>
</cp:coreProperties>
</file>